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DieseArbeitsmappe" defaultThemeVersion="124226"/>
  <workbookProtection workbookPassword="D9BE" lockStructure="1"/>
  <bookViews>
    <workbookView xWindow="-12" yWindow="4812" windowWidth="20520" windowHeight="2352" tabRatio="792"/>
  </bookViews>
  <sheets>
    <sheet name="Data" sheetId="1" r:id="rId1"/>
    <sheet name="Parameters" sheetId="3" state="hidden" r:id="rId2"/>
    <sheet name="Item IDs" sheetId="4" state="hidden" r:id="rId3"/>
  </sheets>
  <definedNames>
    <definedName name="_xlnm._FilterDatabase" localSheetId="2" hidden="1">'Item IDs'!$B$4:$H$304</definedName>
    <definedName name="_ftn1" localSheetId="0">Data!#REF!</definedName>
    <definedName name="_ftnref1" localSheetId="0">Data!$C$120</definedName>
    <definedName name="AccountingStandard">Parameters!$E$74:$E$77</definedName>
    <definedName name="CheckBoxes1">Data!$K$24:$K$29,Data!$K$29:$K$30,Data!$K$26:$K$26,Data!$K$32:$K$35,Data!$K$25:$K$36,Data!$K$43:$K$45,Data!$K$47:$K$52,Data!$K$53,Data!$K$55:$K$56,Data!$K$62:$K$65,Data!$K$66,Data!$K$68:$K$69,Data!$K$73:$K$79,Data!#REF!</definedName>
    <definedName name="CheckBoxes2">Data!$K$85:$K$96,Data!#REF!,Data!$K$101,Data!$K$104:$K$105,Data!$K$111:$K$112,Data!$K$116:$K$117,Data!#REF!,Data!#REF!,Data!$K$123,Data!#REF!,Data!$K$131:$K$133,Data!$K$139:$K$140,Data!$K$142:$K$158</definedName>
    <definedName name="ChecksColumn">Data!$I:$K</definedName>
    <definedName name="ChecksResponses">Parameters!$E$79:$E$81</definedName>
    <definedName name="CountryCode">Parameters!$E$24:$E$45</definedName>
    <definedName name="PanelHeaders1">Data!$B$3:$O$3,Data!$B$20:$O$20,Data!$B$40:$O$40,Data!$B$82:$O$82,Data!$B$108:$O$108,Data!$B$125:$O$125,Data!$B$136:$O$136</definedName>
    <definedName name="PanelHeaders2">#REF!,#REF!,#REF!</definedName>
    <definedName name="_xlnm.Print_Area" localSheetId="0">Data!$B$2:$O$288</definedName>
    <definedName name="_xlnm.Print_Area" localSheetId="1">Parameters!$B$1:$J$95</definedName>
    <definedName name="ReportingCurrency">Parameters!$E$48:$E$67</definedName>
    <definedName name="ReportingDate">Parameters!$E$15:$E$22</definedName>
    <definedName name="ReportingUnit">Parameters!$E$69:$E$72</definedName>
  </definedNames>
  <calcPr calcId="145621"/>
</workbook>
</file>

<file path=xl/calcChain.xml><?xml version="1.0" encoding="utf-8"?>
<calcChain xmlns="http://schemas.openxmlformats.org/spreadsheetml/2006/main">
  <c r="I77" i="1" l="1"/>
  <c r="I32" i="1"/>
  <c r="I168" i="1" l="1"/>
  <c r="I193" i="1" l="1"/>
  <c r="I192" i="1"/>
  <c r="I191" i="1"/>
  <c r="I190" i="1"/>
  <c r="I188" i="1"/>
  <c r="I187" i="1"/>
  <c r="I186" i="1"/>
  <c r="I185" i="1"/>
  <c r="I184" i="1"/>
  <c r="I232" i="1"/>
  <c r="I231" i="1"/>
  <c r="G189" i="1" l="1"/>
  <c r="G183" i="1"/>
  <c r="I170" i="1" l="1"/>
  <c r="I169" i="1"/>
  <c r="I167" i="1"/>
  <c r="I194" i="1"/>
  <c r="I226" i="1"/>
  <c r="I225" i="1"/>
  <c r="I227" i="1"/>
  <c r="L224" i="1"/>
  <c r="K224" i="1"/>
  <c r="I224" i="1"/>
  <c r="I285" i="1" l="1"/>
  <c r="I180" i="1"/>
  <c r="I179" i="1"/>
  <c r="I178" i="1"/>
  <c r="I177" i="1"/>
  <c r="I182" i="1" l="1"/>
  <c r="I181" i="1" l="1"/>
  <c r="I176" i="1"/>
  <c r="I163" i="1" l="1"/>
  <c r="I259" i="1"/>
  <c r="I258" i="1"/>
  <c r="I257" i="1"/>
  <c r="I256" i="1"/>
  <c r="I254" i="1"/>
  <c r="I253" i="1"/>
  <c r="I252" i="1"/>
  <c r="I251" i="1"/>
  <c r="I249" i="1"/>
  <c r="I248" i="1"/>
  <c r="I246" i="1"/>
  <c r="I245" i="1"/>
  <c r="I244" i="1"/>
  <c r="I243" i="1"/>
  <c r="I241" i="1"/>
  <c r="I240" i="1"/>
  <c r="I239" i="1"/>
  <c r="I238" i="1"/>
  <c r="I237" i="1"/>
  <c r="I236" i="1"/>
  <c r="I230" i="1"/>
  <c r="I286" i="1" s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75" i="1"/>
  <c r="I174" i="1"/>
  <c r="I171" i="1"/>
  <c r="I164" i="1"/>
  <c r="I158" i="1"/>
  <c r="C302" i="4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C213" i="4"/>
  <c r="F213" i="4" s="1"/>
  <c r="G213" i="4"/>
  <c r="C214" i="4"/>
  <c r="E214" i="4" s="1"/>
  <c r="G214" i="4"/>
  <c r="C215" i="4"/>
  <c r="D215" i="4" s="1"/>
  <c r="G215" i="4"/>
  <c r="C216" i="4"/>
  <c r="E216" i="4" s="1"/>
  <c r="G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G234" i="4"/>
  <c r="C235" i="4"/>
  <c r="D235" i="4" s="1"/>
  <c r="G235" i="4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G264" i="4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L234" i="1"/>
  <c r="K234" i="1"/>
  <c r="I234" i="1"/>
  <c r="I287" i="1" l="1"/>
  <c r="I284" i="1"/>
  <c r="E211" i="4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I25" i="1"/>
  <c r="I157" i="1" l="1"/>
  <c r="I156" i="1"/>
  <c r="I96" i="1"/>
  <c r="I95" i="1"/>
  <c r="I94" i="1"/>
  <c r="I93" i="1"/>
  <c r="I92" i="1"/>
  <c r="I91" i="1"/>
  <c r="I90" i="1"/>
  <c r="I89" i="1"/>
  <c r="I88" i="1"/>
  <c r="I87" i="1"/>
  <c r="I86" i="1"/>
  <c r="I85" i="1"/>
  <c r="I269" i="1" l="1"/>
  <c r="G97" i="1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C53" i="4"/>
  <c r="F53" i="4" s="1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C46" i="4"/>
  <c r="D46" i="4" s="1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I64" i="1"/>
  <c r="L229" i="1"/>
  <c r="L196" i="1"/>
  <c r="L173" i="1"/>
  <c r="K196" i="1"/>
  <c r="I196" i="1"/>
  <c r="K229" i="1"/>
  <c r="I229" i="1"/>
  <c r="K173" i="1"/>
  <c r="I173" i="1"/>
  <c r="K153" i="1"/>
  <c r="I153" i="1"/>
  <c r="I10" i="1"/>
  <c r="I101" i="1"/>
  <c r="I270" i="1" s="1"/>
  <c r="I128" i="1"/>
  <c r="I275" i="1" s="1"/>
  <c r="I148" i="1"/>
  <c r="I154" i="1"/>
  <c r="I281" i="1" s="1"/>
  <c r="K162" i="1"/>
  <c r="I162" i="1"/>
  <c r="I117" i="1"/>
  <c r="I116" i="1"/>
  <c r="I119" i="1"/>
  <c r="I16" i="1"/>
  <c r="I17" i="1"/>
  <c r="N22" i="1"/>
  <c r="N224" i="1" s="1"/>
  <c r="L22" i="1"/>
  <c r="L127" i="1" s="1"/>
  <c r="I110" i="1"/>
  <c r="K110" i="1"/>
  <c r="I115" i="1"/>
  <c r="K115" i="1"/>
  <c r="I122" i="1"/>
  <c r="K122" i="1"/>
  <c r="I100" i="1"/>
  <c r="K100" i="1"/>
  <c r="I7" i="1"/>
  <c r="I29" i="1"/>
  <c r="I24" i="1"/>
  <c r="I118" i="1"/>
  <c r="I140" i="1"/>
  <c r="I44" i="1"/>
  <c r="I43" i="1"/>
  <c r="I51" i="1"/>
  <c r="I52" i="1"/>
  <c r="E264" i="1"/>
  <c r="I9" i="1"/>
  <c r="I264" i="1"/>
  <c r="K150" i="1"/>
  <c r="I150" i="1"/>
  <c r="K138" i="1"/>
  <c r="I138" i="1"/>
  <c r="K130" i="1"/>
  <c r="I130" i="1"/>
  <c r="K127" i="1"/>
  <c r="I127" i="1"/>
  <c r="K103" i="1"/>
  <c r="I103" i="1"/>
  <c r="K84" i="1"/>
  <c r="I84" i="1"/>
  <c r="K72" i="1"/>
  <c r="I72" i="1"/>
  <c r="K60" i="1"/>
  <c r="I60" i="1"/>
  <c r="K42" i="1"/>
  <c r="I42" i="1"/>
  <c r="G22" i="1"/>
  <c r="G224" i="1" s="1"/>
  <c r="I18" i="1"/>
  <c r="G11" i="1"/>
  <c r="I15" i="1"/>
  <c r="I14" i="1"/>
  <c r="I12" i="1"/>
  <c r="I8" i="1"/>
  <c r="I132" i="1"/>
  <c r="I131" i="1"/>
  <c r="I151" i="1"/>
  <c r="I143" i="1"/>
  <c r="I142" i="1"/>
  <c r="I36" i="1"/>
  <c r="I147" i="1"/>
  <c r="I146" i="1"/>
  <c r="I145" i="1"/>
  <c r="I144" i="1"/>
  <c r="I133" i="1"/>
  <c r="I123" i="1"/>
  <c r="I274" i="1" s="1"/>
  <c r="I112" i="1"/>
  <c r="I111" i="1"/>
  <c r="I272" i="1" s="1"/>
  <c r="I105" i="1"/>
  <c r="I104" i="1"/>
  <c r="I79" i="1"/>
  <c r="I78" i="1"/>
  <c r="I76" i="1"/>
  <c r="I75" i="1"/>
  <c r="I74" i="1"/>
  <c r="I73" i="1"/>
  <c r="I69" i="1"/>
  <c r="I68" i="1"/>
  <c r="I66" i="1"/>
  <c r="I65" i="1"/>
  <c r="I63" i="1"/>
  <c r="I62" i="1"/>
  <c r="I56" i="1"/>
  <c r="I55" i="1"/>
  <c r="I53" i="1"/>
  <c r="I50" i="1"/>
  <c r="I49" i="1"/>
  <c r="I48" i="1"/>
  <c r="I47" i="1"/>
  <c r="I45" i="1"/>
  <c r="I35" i="1"/>
  <c r="I34" i="1"/>
  <c r="I33" i="1"/>
  <c r="I26" i="1"/>
  <c r="I30" i="1"/>
  <c r="I28" i="1"/>
  <c r="G2" i="1"/>
  <c r="E9" i="3"/>
  <c r="D10" i="3"/>
  <c r="D11" i="3" s="1"/>
  <c r="C122" i="4"/>
  <c r="F122" i="4" s="1"/>
  <c r="C143" i="4"/>
  <c r="G137" i="4"/>
  <c r="C185" i="4"/>
  <c r="D185" i="4" s="1"/>
  <c r="G176" i="4"/>
  <c r="C133" i="4"/>
  <c r="D133" i="4" s="1"/>
  <c r="C123" i="4"/>
  <c r="E123" i="4" s="1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24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25" i="4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28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G127" i="4"/>
  <c r="G123" i="4"/>
  <c r="I2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C124" i="4"/>
  <c r="G190" i="4"/>
  <c r="G186" i="4"/>
  <c r="G182" i="4"/>
  <c r="G178" i="4"/>
  <c r="G174" i="4"/>
  <c r="G170" i="4"/>
  <c r="G150" i="4"/>
  <c r="G146" i="4"/>
  <c r="G142" i="4"/>
  <c r="G138" i="4"/>
  <c r="G134" i="4"/>
  <c r="G130" i="4"/>
  <c r="G126" i="4"/>
  <c r="G122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I279" i="1" l="1"/>
  <c r="I271" i="1"/>
  <c r="I268" i="1"/>
  <c r="G38" i="1"/>
  <c r="I165" i="1" s="1"/>
  <c r="I282" i="1" s="1"/>
  <c r="I276" i="1"/>
  <c r="I273" i="1"/>
  <c r="I267" i="1"/>
  <c r="I266" i="1"/>
  <c r="I265" i="1"/>
  <c r="I278" i="1"/>
  <c r="G58" i="1"/>
  <c r="G234" i="1"/>
  <c r="N100" i="1"/>
  <c r="N234" i="1"/>
  <c r="G84" i="1"/>
  <c r="G196" i="1"/>
  <c r="N115" i="1"/>
  <c r="N72" i="1"/>
  <c r="L138" i="1"/>
  <c r="N130" i="1"/>
  <c r="N110" i="1"/>
  <c r="N196" i="1"/>
  <c r="N42" i="1"/>
  <c r="N138" i="1"/>
  <c r="N229" i="1"/>
  <c r="N122" i="1"/>
  <c r="N162" i="1"/>
  <c r="E274" i="1"/>
  <c r="G274" i="1" s="1"/>
  <c r="N103" i="1"/>
  <c r="N264" i="1"/>
  <c r="N150" i="1"/>
  <c r="G106" i="1"/>
  <c r="E271" i="1" s="1"/>
  <c r="G271" i="1" s="1"/>
  <c r="L110" i="1"/>
  <c r="L84" i="1"/>
  <c r="G70" i="1"/>
  <c r="I139" i="1" s="1"/>
  <c r="I280" i="1" s="1"/>
  <c r="E270" i="1"/>
  <c r="G270" i="1" s="1"/>
  <c r="L42" i="1"/>
  <c r="L72" i="1"/>
  <c r="L150" i="1"/>
  <c r="L100" i="1"/>
  <c r="G120" i="1"/>
  <c r="E273" i="1" s="1"/>
  <c r="G273" i="1" s="1"/>
  <c r="L153" i="1"/>
  <c r="L115" i="1"/>
  <c r="L60" i="1"/>
  <c r="L103" i="1"/>
  <c r="L130" i="1"/>
  <c r="L122" i="1"/>
  <c r="N173" i="1"/>
  <c r="G134" i="1"/>
  <c r="E276" i="1" s="1"/>
  <c r="G276" i="1" s="1"/>
  <c r="N84" i="1"/>
  <c r="N60" i="1"/>
  <c r="N127" i="1"/>
  <c r="N153" i="1"/>
  <c r="D114" i="4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D5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G162" i="1"/>
  <c r="G100" i="1"/>
  <c r="G103" i="1"/>
  <c r="E147" i="4"/>
  <c r="D88" i="4"/>
  <c r="D80" i="4"/>
  <c r="E188" i="4"/>
  <c r="F188" i="4"/>
  <c r="D91" i="4"/>
  <c r="E5" i="4"/>
  <c r="F9" i="4"/>
  <c r="E19" i="4"/>
  <c r="F37" i="4"/>
  <c r="F39" i="4"/>
  <c r="E51" i="4"/>
  <c r="E53" i="4"/>
  <c r="G110" i="1"/>
  <c r="G127" i="1"/>
  <c r="G130" i="1"/>
  <c r="F176" i="4"/>
  <c r="D172" i="4"/>
  <c r="D181" i="4"/>
  <c r="E87" i="4"/>
  <c r="D111" i="4"/>
  <c r="D129" i="4"/>
  <c r="G113" i="1"/>
  <c r="E272" i="1" s="1"/>
  <c r="G272" i="1" s="1"/>
  <c r="F85" i="4"/>
  <c r="D85" i="4"/>
  <c r="G122" i="1"/>
  <c r="G229" i="1"/>
  <c r="G115" i="1"/>
  <c r="D176" i="4"/>
  <c r="G42" i="1"/>
  <c r="F172" i="4"/>
  <c r="E275" i="1"/>
  <c r="G275" i="1" s="1"/>
  <c r="F87" i="4"/>
  <c r="F174" i="4"/>
  <c r="E128" i="4"/>
  <c r="F128" i="4"/>
  <c r="G80" i="1"/>
  <c r="E268" i="1" s="1"/>
  <c r="G268" i="1" s="1"/>
  <c r="D103" i="4"/>
  <c r="F103" i="4"/>
  <c r="E103" i="4"/>
  <c r="G72" i="1"/>
  <c r="G173" i="1"/>
  <c r="G60" i="1"/>
  <c r="E144" i="4"/>
  <c r="D144" i="4"/>
  <c r="G153" i="1"/>
  <c r="E95" i="4"/>
  <c r="G138" i="1"/>
  <c r="F71" i="4"/>
  <c r="D174" i="4"/>
  <c r="F95" i="4"/>
  <c r="F65" i="4"/>
  <c r="D65" i="4"/>
  <c r="D89" i="4"/>
  <c r="F89" i="4"/>
  <c r="F113" i="4"/>
  <c r="E113" i="4"/>
  <c r="G141" i="1" l="1"/>
  <c r="E267" i="1"/>
  <c r="G267" i="1" s="1"/>
  <c r="I189" i="1"/>
  <c r="I183" i="1"/>
  <c r="E266" i="1"/>
  <c r="G266" i="1" s="1"/>
  <c r="E269" i="1"/>
  <c r="G269" i="1" s="1"/>
  <c r="I283" i="1" l="1"/>
  <c r="E265" i="1"/>
  <c r="G265" i="1" s="1"/>
</calcChain>
</file>

<file path=xl/sharedStrings.xml><?xml version="1.0" encoding="utf-8"?>
<sst xmlns="http://schemas.openxmlformats.org/spreadsheetml/2006/main" count="798" uniqueCount="643">
  <si>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</si>
  <si>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</si>
  <si>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</si>
  <si>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</si>
  <si>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</si>
  <si>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</si>
  <si>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</si>
  <si>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</si>
  <si>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</si>
  <si>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</si>
  <si>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</si>
  <si>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</si>
  <si>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</si>
  <si>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</si>
  <si>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</si>
  <si>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</si>
  <si>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</si>
  <si>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</si>
  <si>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</si>
  <si>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</si>
  <si>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</si>
  <si>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</si>
  <si>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</si>
  <si>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</si>
  <si>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</si>
  <si>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</si>
  <si>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</si>
  <si>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</si>
  <si>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</si>
  <si>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</si>
  <si>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</si>
  <si>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</si>
  <si>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</si>
  <si>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</si>
  <si>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</si>
  <si>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</si>
  <si>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</si>
  <si>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</si>
  <si>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</si>
  <si>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</si>
  <si>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</si>
  <si>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</si>
  <si>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</si>
  <si>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</si>
  <si>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</si>
  <si>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</si>
  <si>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</si>
  <si>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</si>
  <si>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</si>
  <si>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</si>
  <si>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</si>
  <si>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</si>
  <si>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</si>
  <si>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</si>
  <si>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</si>
  <si>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</si>
  <si>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</si>
  <si>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</si>
  <si>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</si>
  <si>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</si>
  <si>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</si>
  <si>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</si>
  <si>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</si>
  <si>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</si>
  <si>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</si>
  <si>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</si>
  <si>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</si>
  <si>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</si>
  <si>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</si>
  <si>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</si>
  <si>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</si>
  <si>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</si>
  <si>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</si>
  <si>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</si>
  <si>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</si>
  <si>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</si>
  <si>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</si>
  <si>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</si>
  <si>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</si>
  <si>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</si>
  <si>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</si>
  <si>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</si>
  <si>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</si>
  <si>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</si>
  <si>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</si>
  <si>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</si>
  <si>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</si>
  <si>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</si>
  <si>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</si>
  <si>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</si>
  <si>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</si>
  <si>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</si>
  <si>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</si>
  <si>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</si>
  <si>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</si>
  <si>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</si>
  <si>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</si>
  <si>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</si>
  <si>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</si>
  <si>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</si>
  <si>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</si>
  <si>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</si>
  <si>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</si>
  <si>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</si>
  <si>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</si>
  <si>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</si>
  <si>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</si>
  <si>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</si>
  <si>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</si>
  <si>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</si>
  <si>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</si>
  <si>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</si>
  <si>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</si>
  <si>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</si>
  <si>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</si>
  <si>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</si>
  <si>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</si>
  <si>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</si>
  <si>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</si>
  <si>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</si>
  <si>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</si>
  <si>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</si>
  <si>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</si>
  <si>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</si>
  <si>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</si>
  <si>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</si>
  <si>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</si>
  <si>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</si>
  <si>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</si>
  <si>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</si>
  <si>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</si>
  <si>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>6.l.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</si>
  <si>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</si>
  <si>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</si>
  <si>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</si>
  <si>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</si>
  <si>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</si>
  <si>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</si>
  <si>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</si>
  <si>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</si>
  <si>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</si>
  <si>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</si>
  <si>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</si>
  <si>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</si>
  <si>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</si>
  <si>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</si>
  <si>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</si>
  <si>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</si>
  <si>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</si>
  <si>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</si>
  <si>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</si>
  <si>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</si>
  <si>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</si>
  <si>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</si>
  <si>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</si>
  <si>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</si>
  <si>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</si>
  <si>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</si>
  <si>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</si>
  <si>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</si>
  <si>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</si>
  <si>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</si>
  <si>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</si>
  <si>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</si>
  <si>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</si>
  <si>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</si>
  <si>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</si>
  <si>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</si>
  <si>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</si>
  <si>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</si>
  <si>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</si>
  <si>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</si>
  <si>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</si>
  <si>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</si>
  <si>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</si>
  <si>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</si>
  <si>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</si>
  <si>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</si>
  <si>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</si>
  <si>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</si>
  <si>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</si>
  <si>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</si>
  <si>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</si>
  <si>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</si>
  <si>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</si>
  <si>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</si>
  <si>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</si>
  <si>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</si>
  <si>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</si>
  <si>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</si>
  <si>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</si>
  <si>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</si>
  <si>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</si>
  <si>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</si>
  <si>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</si>
  <si>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</si>
  <si>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</si>
  <si>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</si>
  <si>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</si>
  <si>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</si>
  <si>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</si>
  <si>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</si>
  <si>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</si>
  <si>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</si>
  <si>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</si>
  <si>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</si>
  <si>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</si>
  <si>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</si>
  <si>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</si>
  <si>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</si>
  <si>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</si>
  <si>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</si>
  <si>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</si>
  <si>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</si>
  <si>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</si>
  <si>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</si>
  <si>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15.e.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</si>
  <si>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</si>
  <si>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</si>
  <si>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</si>
  <si>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</si>
  <si>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</si>
  <si>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</si>
  <si>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</si>
  <si>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</si>
  <si>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</si>
  <si>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</si>
  <si>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</si>
  <si>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</si>
  <si>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</si>
  <si>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</si>
  <si>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</si>
  <si>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</si>
  <si>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</si>
  <si>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</si>
  <si>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</si>
  <si>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</si>
  <si>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</si>
  <si>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</si>
  <si>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</si>
  <si>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</si>
  <si>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</si>
  <si>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</si>
  <si>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</si>
  <si>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</si>
  <si>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</si>
  <si>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</si>
  <si>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</si>
  <si>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</si>
  <si>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</si>
  <si>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</si>
  <si>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(1) Item 1.a - General information provided by the supervisory authority</t>
    <phoneticPr fontId="8" type="noConversion"/>
  </si>
  <si>
    <t>j. Gross negative fair value of OTC derivatives transactions</t>
    <phoneticPr fontId="8" type="noConversion"/>
  </si>
  <si>
    <t>a. Assets under custody indicator</t>
    <phoneticPr fontId="8" type="noConversion"/>
  </si>
  <si>
    <t>a. General information provided by the relevant supervisory authority:</t>
    <phoneticPr fontId="8" type="noConversion"/>
  </si>
  <si>
    <t>h. Securities outstanding indicator (sum of items 5.a through 5.g)</t>
    <phoneticPr fontId="8" type="noConversion"/>
  </si>
  <si>
    <t>5.h.</t>
    <phoneticPr fontId="8" type="noConversion"/>
  </si>
  <si>
    <t>6.m.</t>
    <phoneticPr fontId="8" type="noConversion"/>
  </si>
  <si>
    <t>m. Payments activity indicator (sum of items 6.a through 6.l)</t>
    <phoneticPr fontId="8" type="noConversion"/>
  </si>
  <si>
    <t>7.a.</t>
    <phoneticPr fontId="8" type="noConversion"/>
  </si>
  <si>
    <t>8.c.</t>
    <phoneticPr fontId="8" type="noConversion"/>
  </si>
  <si>
    <t>c. Underwriting activity indicator (sum of items 8.a and 8.b)</t>
    <phoneticPr fontId="8" type="noConversion"/>
  </si>
  <si>
    <t>e. Trading and AFS securities indicator (sum of items 10.a and 10.b, minus the sum of 10.c and 10.d)</t>
    <phoneticPr fontId="8" type="noConversion"/>
  </si>
  <si>
    <t>10.e.</t>
    <phoneticPr fontId="8" type="noConversion"/>
  </si>
  <si>
    <t>c. Cross-jurisdictional liabilities indicator (sum of items 13.a and 13.b, minus 13.a.(1))</t>
    <phoneticPr fontId="8" type="noConversion"/>
  </si>
  <si>
    <t>13.c.</t>
    <phoneticPr fontId="8" type="noConversion"/>
  </si>
  <si>
    <t>14.i.</t>
    <phoneticPr fontId="8" type="noConversion"/>
  </si>
  <si>
    <t>14.j.</t>
    <phoneticPr fontId="8" type="noConversion"/>
  </si>
  <si>
    <t>12.a.</t>
    <phoneticPr fontId="8" type="noConversion"/>
  </si>
  <si>
    <t>Memorandum Items</t>
  </si>
  <si>
    <t>Ancillary Data</t>
  </si>
  <si>
    <t>Comments Regarding Data Quality/Availability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</si>
  <si>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</si>
  <si>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</si>
  <si>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</si>
  <si>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</si>
  <si>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</si>
  <si>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</si>
  <si>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</si>
  <si>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</si>
  <si>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</si>
  <si>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</si>
  <si>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</si>
  <si>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</si>
  <si>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</si>
  <si>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</si>
  <si>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</si>
  <si>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</si>
  <si>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</si>
  <si>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</si>
  <si>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</si>
  <si>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</si>
  <si>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</si>
  <si>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</si>
  <si>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</si>
  <si>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</si>
  <si>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</si>
  <si>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</si>
  <si>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</si>
  <si>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</si>
  <si>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</si>
  <si>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</si>
  <si>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</si>
  <si>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</si>
  <si>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</si>
  <si>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</si>
  <si>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</si>
  <si>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</si>
  <si>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</si>
  <si>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</si>
  <si>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</si>
  <si>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</si>
  <si>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18.b.</t>
  </si>
  <si>
    <t>b  Trading volume of securities issued by sovereigns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</si>
  <si>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</si>
  <si>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</si>
  <si>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</si>
  <si>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</si>
  <si>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18.c.</t>
  </si>
  <si>
    <t>18.d.</t>
  </si>
  <si>
    <t>18.e.</t>
  </si>
  <si>
    <t>18.f.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</si>
  <si>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</si>
  <si>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</si>
  <si>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</si>
  <si>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</si>
  <si>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</si>
  <si>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</si>
  <si>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</si>
  <si>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</si>
  <si>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</si>
  <si>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</si>
  <si>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</si>
  <si>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</si>
  <si>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</si>
  <si>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</si>
  <si>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</si>
  <si>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</si>
  <si>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</si>
  <si>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</si>
  <si>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</si>
  <si>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</si>
  <si>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</si>
  <si>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</si>
  <si>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</si>
  <si>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</si>
  <si>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</si>
  <si>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</si>
  <si>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</si>
  <si>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</si>
  <si>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</si>
  <si>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</si>
  <si>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</si>
  <si>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</si>
  <si>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</si>
  <si>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</si>
  <si>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</si>
  <si>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</si>
  <si>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</si>
  <si>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15.f.(1)</t>
  </si>
  <si>
    <t>15.f.(2)</t>
  </si>
  <si>
    <t>15.f.(3)</t>
  </si>
  <si>
    <t>e. Held-to-maturity securities</t>
  </si>
  <si>
    <t>f. Payments made in the reporting year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</si>
  <si>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</si>
  <si>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</si>
  <si>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</si>
  <si>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</si>
  <si>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</si>
  <si>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</si>
  <si>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</si>
  <si>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</si>
  <si>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</si>
  <si>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</si>
  <si>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</si>
  <si>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</si>
  <si>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</si>
  <si>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</si>
  <si>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</si>
  <si>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</si>
  <si>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</si>
  <si>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</si>
  <si>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</si>
  <si>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</si>
  <si>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</si>
  <si>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</si>
  <si>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</si>
  <si>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</si>
  <si>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</si>
  <si>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</si>
  <si>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</si>
  <si>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</si>
  <si>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</si>
  <si>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</si>
  <si>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</si>
  <si>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</si>
  <si>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</si>
  <si>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</si>
  <si>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</si>
  <si>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</si>
  <si>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</si>
  <si>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</si>
  <si>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</si>
  <si>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</si>
  <si>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</si>
  <si>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End-2015 G-SIB Assessment Exercise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</si>
  <si>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</si>
  <si>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</si>
  <si>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</si>
  <si>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</si>
  <si>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</si>
  <si>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</si>
  <si>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</si>
  <si>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</si>
  <si>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</si>
  <si>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</si>
  <si>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k. Swedish krona (SEK)</t>
  </si>
  <si>
    <t>l. United States dollars (USD)</t>
  </si>
  <si>
    <t>(1) Mexican pesos (MXN)</t>
  </si>
  <si>
    <t>(2) New Zealand dollars (NZD)</t>
  </si>
  <si>
    <t>(3) Russian rubles (RUB)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</si>
  <si>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</si>
  <si>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</si>
  <si>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</si>
  <si>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</si>
  <si>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</si>
  <si>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</si>
  <si>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</si>
  <si>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</si>
  <si>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</si>
  <si>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</si>
  <si>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</si>
  <si>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</si>
  <si>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</si>
  <si>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</si>
  <si>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</si>
  <si>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</si>
  <si>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</si>
  <si>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</si>
  <si>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</si>
  <si>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</si>
  <si>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</si>
  <si>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</si>
  <si>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</si>
  <si>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</si>
  <si>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</si>
  <si>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</si>
  <si>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</si>
  <si>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</si>
  <si>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</si>
  <si>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</si>
  <si>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</si>
  <si>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</si>
  <si>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</si>
  <si>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</si>
  <si>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</si>
  <si>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</si>
  <si>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</si>
  <si>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</si>
  <si>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</si>
  <si>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</si>
  <si>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</si>
  <si>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</si>
  <si>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</si>
  <si>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</si>
  <si>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</si>
  <si>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</si>
  <si>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</si>
  <si>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</si>
  <si>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</si>
  <si>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</si>
  <si>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</si>
  <si>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</si>
  <si>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</si>
  <si>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</si>
  <si>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</si>
  <si>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</si>
  <si>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</si>
  <si>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</si>
  <si>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</si>
  <si>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</si>
  <si>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</si>
  <si>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</si>
  <si>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</si>
  <si>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</si>
  <si>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</si>
  <si>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</si>
  <si>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</si>
  <si>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</si>
  <si>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</si>
  <si>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</si>
  <si>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</si>
  <si>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</si>
  <si>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</si>
  <si>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</si>
  <si>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</si>
  <si>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</si>
  <si>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</si>
  <si>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</si>
  <si>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a. Secured funding captured in the liquidity coverage ratio (LCR):</t>
  </si>
  <si>
    <t>(1) Funding backed by Level 1 liquid assets</t>
  </si>
  <si>
    <t>(2) Funding backed by Level 2A liquid assets</t>
  </si>
  <si>
    <t>(3) Funding backed by Level 2B liquid assets</t>
  </si>
  <si>
    <t>(4) Funding backed by non-HQLA</t>
  </si>
  <si>
    <t>(5) ABS, structured financing instruments, ABCP, conduits, SIVs and other such funding activities</t>
  </si>
  <si>
    <t>b. Unsecured wholesale funding captured in the LCR:</t>
  </si>
  <si>
    <t>(1) Operational deposits from non-financial entities</t>
  </si>
  <si>
    <t>(2) Operational deposits from financial institutions</t>
  </si>
  <si>
    <t>(3) Non-operational deposits from non-financial entities</t>
  </si>
  <si>
    <t>(4) Non-operational deposits from financial institutions and unsecured debt issuance</t>
  </si>
  <si>
    <t>c. Secured funding captured in the net stable funding ratio (NSFR):</t>
  </si>
  <si>
    <t>(1) Secured funding with a maturity of less than 6 months</t>
  </si>
  <si>
    <t>(2) Secured funding with a maturity of between 6 months and 1 year</t>
  </si>
  <si>
    <t>d. Unsecured wholesale funding captured in the NSFR with a maturity of less than 6 months:</t>
  </si>
  <si>
    <t>(3) Non-operational deposits and non-deposit unsecured funding from non-financial entities</t>
  </si>
  <si>
    <t>(4) Non-operational deposits and other wholesale funding from financial institutions</t>
  </si>
  <si>
    <t>f. Unsecured wholesale funding captured in the NSFR with a maturity between 6 months and 1 year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</si>
  <si>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</si>
  <si>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</si>
  <si>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</si>
  <si>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</si>
  <si>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</si>
  <si>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</si>
  <si>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</si>
  <si>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17.h.</t>
  </si>
  <si>
    <t>17.i.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</si>
  <si>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</si>
  <si>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</si>
  <si>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</si>
  <si>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</si>
  <si>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</si>
  <si>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h. Net positive current exposure of SFTs with other financial institutions (revised definition)</t>
  </si>
  <si>
    <t>i. Net negative current exposure of SFTs with other financial institutions (revised definition)</t>
  </si>
  <si>
    <t>Section 20 - Cross-Jurisdictional Activity Items</t>
  </si>
  <si>
    <t>Section 19 - Complexity Items</t>
  </si>
  <si>
    <t>19.c.</t>
  </si>
  <si>
    <t>Section 21 - Short-term Funding Items</t>
  </si>
  <si>
    <t>21.a.(1)</t>
  </si>
  <si>
    <t>21.a.(2)</t>
  </si>
  <si>
    <t>21.a.(3)</t>
  </si>
  <si>
    <t>21.a.(4)</t>
  </si>
  <si>
    <t>21.a.(5)</t>
  </si>
  <si>
    <t>21.a.(6)</t>
  </si>
  <si>
    <t>21.b.(1)</t>
  </si>
  <si>
    <t>21.b.(2)</t>
  </si>
  <si>
    <t>21.b.(3)</t>
  </si>
  <si>
    <t>21.b.(4)</t>
  </si>
  <si>
    <t>21.c.(1)</t>
  </si>
  <si>
    <t>21.c.(2)</t>
  </si>
  <si>
    <t>21.d.(1)</t>
  </si>
  <si>
    <t>21.d.(2)</t>
  </si>
  <si>
    <t>21.d.(3)</t>
  </si>
  <si>
    <t>21.d.(4)</t>
  </si>
  <si>
    <t>21.f.(1)</t>
  </si>
  <si>
    <t>21.f.(2)</t>
  </si>
  <si>
    <t>21.f.(3)</t>
  </si>
  <si>
    <t>21.f.(4)</t>
  </si>
  <si>
    <t>22.a.</t>
  </si>
  <si>
    <t>22.b.</t>
  </si>
  <si>
    <t>22.c.</t>
  </si>
  <si>
    <t>22.d.</t>
  </si>
  <si>
    <t>22.e.</t>
  </si>
  <si>
    <t>22.f.</t>
  </si>
  <si>
    <t>22.g.</t>
  </si>
  <si>
    <t>22.h.</t>
  </si>
  <si>
    <t>22.i.</t>
  </si>
  <si>
    <t>22.j.</t>
  </si>
  <si>
    <t>22.k.</t>
  </si>
  <si>
    <t>22.l.</t>
  </si>
  <si>
    <t>22.m.(1)</t>
  </si>
  <si>
    <t>22.m.(2)</t>
  </si>
  <si>
    <t>22.m.(3)</t>
  </si>
  <si>
    <t>22.m.(4)</t>
  </si>
  <si>
    <t>22.m.(5)</t>
  </si>
  <si>
    <t>22.m.(6)</t>
  </si>
  <si>
    <t>22.m.(7)</t>
  </si>
  <si>
    <t>22.m.(8)</t>
  </si>
  <si>
    <t>22.m.(9)</t>
  </si>
  <si>
    <t>Section 22 - Indicator Values</t>
  </si>
  <si>
    <t>(8) Section 19 - Complexity Items</t>
  </si>
  <si>
    <t>(9) Section 20 - Cross-Jurisdictional Activity Items</t>
  </si>
  <si>
    <t>(10) Section 21 - Short-term Funding</t>
  </si>
  <si>
    <t>22.m.(10)</t>
  </si>
  <si>
    <t>a. Account value for variable insurance products with minimum guarantees, gross of reinsurance</t>
  </si>
  <si>
    <t>b. Account value for variable insurance products with minimum guarantees, net of reinsurance</t>
  </si>
  <si>
    <t>c. Total exposures, including insurance subsidiaries</t>
  </si>
  <si>
    <t>d. Exposures of insurance subsidiaries:</t>
  </si>
  <si>
    <t>(1) On-balance sheet insurance assets</t>
  </si>
  <si>
    <t>(2) Potential future exposure of derivatives contracts for insurance subsidiaries</t>
  </si>
  <si>
    <t>(3) Unconditionally cancellable commitments for insurance subsidiaries</t>
  </si>
  <si>
    <t>(4) Other off-balance sheet commitments for insurance subsidiaries</t>
  </si>
  <si>
    <t>(5) Investment value in consolidated entities</t>
  </si>
  <si>
    <t>16.d.(1)</t>
  </si>
  <si>
    <t>16.d.(2)</t>
  </si>
  <si>
    <t>16.d.(3)</t>
  </si>
  <si>
    <t>16.d.(4)</t>
  </si>
  <si>
    <t>16.d.(5)</t>
  </si>
  <si>
    <t>17.j.</t>
  </si>
  <si>
    <t>17.k.</t>
  </si>
  <si>
    <t>17.l.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</si>
  <si>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</si>
  <si>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</si>
  <si>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</si>
  <si>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</si>
  <si>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</si>
  <si>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</si>
  <si>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End-2015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</si>
  <si>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</si>
  <si>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</si>
  <si>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</si>
  <si>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17.j.(1)</t>
  </si>
  <si>
    <t>17.j.(2)</t>
  </si>
  <si>
    <t>17.j.(3)</t>
  </si>
  <si>
    <t>17.j.(4)</t>
  </si>
  <si>
    <t>17.j.(5)</t>
  </si>
  <si>
    <t>(5) OTC derivatives with other financial institutions that have a net positive fair value</t>
  </si>
  <si>
    <t>(3) Holdings of securities issued by other financial institutions</t>
  </si>
  <si>
    <t>j. Intra-financial system assets, including insurance subsidiaries</t>
  </si>
  <si>
    <t>17.k.(1)</t>
  </si>
  <si>
    <t>17.k.(2)</t>
  </si>
  <si>
    <t>17.k.(3)</t>
  </si>
  <si>
    <t>17.k.(4)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</si>
  <si>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</si>
  <si>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</si>
  <si>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</si>
  <si>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</si>
  <si>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</si>
  <si>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l. Securities outstanding, including the securities issued by insurance subsidiaries</t>
  </si>
  <si>
    <t>a. Notional amount of over-the-counter (OTC) derivatives, including insurance subsidiaries</t>
  </si>
  <si>
    <t>b. Trading and available-for-sale (AFS) securities, including insurance subsidiaries</t>
  </si>
  <si>
    <t>c. Level 3 assets, including insurance subsidiaries</t>
  </si>
  <si>
    <t>SKIPPED</t>
  </si>
  <si>
    <t>(6) Collateral swaps</t>
  </si>
  <si>
    <t>k. Total off-balance-sheet items</t>
  </si>
  <si>
    <t>n. Total exposures indicators</t>
  </si>
  <si>
    <t>k. Intra-financial system liabilities, including insurance subsidiaries</t>
  </si>
  <si>
    <t>20.b.(1)</t>
  </si>
  <si>
    <t>b. Foreign liabilities on an immediate risk basis (including derivatives)</t>
  </si>
  <si>
    <t>ABN AMRO Bank N.V.</t>
  </si>
  <si>
    <t>English</t>
  </si>
  <si>
    <t>No derivatives trades in our insurance</t>
  </si>
  <si>
    <t>Our estimation would be that, by including the security brokers in the definition of financial institution, would lead to a material change. At this point it would be difficult to give an indication of the increase.</t>
  </si>
  <si>
    <t>www.abnamro.com/ir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</si>
</sst>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 * #,##0.00_ ;_ * \-#,##0.00_ ;_ * &quot;-&quot;??_ ;_ @_ 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  <numFmt numFmtId="170" formatCode="_-* #,##0.00_-;\-* #,##0.00_-;_-* &quot;-&quot;??_-;_-@_-"/>
    <numFmt numFmtId="171" formatCode="_-&quot;€&quot;* #,##0.00_-;\-&quot;€&quot;* #,##0.00_-;_-&quot;€&quot;* &quot;-&quot;??_-;_-@_-"/>
    <numFmt numFmtId="172" formatCode="_([$€-2]* #,##0.00_);_([$€-2]* \(#,##0.00\);_([$€-2]* &quot;-&quot;??_)"/>
    <numFmt numFmtId="173" formatCode="_(&quot;R$ &quot;* #,##0.00_);_(&quot;R$ &quot;* \(#,##0.00\);_(&quot;R$ &quot;* &quot;-&quot;??_);_(@_)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</font>
    <font>
      <b/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9">
    <xf numFmtId="0" fontId="0" fillId="2" borderId="0" applyFont="0" applyBorder="0"/>
    <xf numFmtId="3" fontId="4" fillId="3" borderId="1">
      <alignment horizontal="right" vertical="center"/>
      <protection locked="0"/>
    </xf>
    <xf numFmtId="0" fontId="16" fillId="4" borderId="0" applyNumberFormat="0" applyBorder="0" applyAlignment="0" applyProtection="0"/>
    <xf numFmtId="3" fontId="4" fillId="0" borderId="2">
      <alignment horizontal="right" vertical="center"/>
    </xf>
    <xf numFmtId="0" fontId="5" fillId="5" borderId="3">
      <alignment horizontal="left" vertical="center" indent="1"/>
    </xf>
    <xf numFmtId="43" fontId="4" fillId="0" borderId="0" applyFont="0" applyFill="0" applyBorder="0" applyAlignment="0" applyProtection="0"/>
    <xf numFmtId="0" fontId="4" fillId="3" borderId="1">
      <alignment horizontal="left" vertical="center" indent="1"/>
    </xf>
    <xf numFmtId="0" fontId="7" fillId="2" borderId="4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7" fillId="2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3" borderId="1">
      <alignment horizontal="center" vertical="center"/>
    </xf>
    <xf numFmtId="3" fontId="4" fillId="6" borderId="1">
      <alignment horizontal="right" vertical="center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5" fillId="0" borderId="0">
      <alignment vertical="center"/>
    </xf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20" fillId="4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1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3" borderId="34" applyNumberFormat="0" applyAlignment="0" applyProtection="0"/>
    <xf numFmtId="0" fontId="26" fillId="24" borderId="35" applyNumberFormat="0" applyAlignment="0" applyProtection="0"/>
    <xf numFmtId="0" fontId="27" fillId="24" borderId="34" applyNumberFormat="0" applyAlignment="0" applyProtection="0"/>
    <xf numFmtId="0" fontId="28" fillId="0" borderId="36" applyNumberFormat="0" applyFill="0" applyAlignment="0" applyProtection="0"/>
    <xf numFmtId="0" fontId="29" fillId="25" borderId="37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9" applyNumberFormat="0" applyFill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33" fillId="50" borderId="0" applyNumberFormat="0" applyBorder="0" applyAlignment="0" applyProtection="0"/>
    <xf numFmtId="0" fontId="1" fillId="0" borderId="0"/>
    <xf numFmtId="0" fontId="34" fillId="0" borderId="40" applyNumberFormat="0" applyFill="0" applyAlignment="0" applyProtection="0"/>
    <xf numFmtId="0" fontId="34" fillId="0" borderId="0" applyNumberFormat="0" applyFill="0" applyBorder="0" applyAlignment="0" applyProtection="0"/>
    <xf numFmtId="0" fontId="1" fillId="26" borderId="38" applyNumberFormat="0" applyFont="0" applyAlignment="0" applyProtection="0"/>
    <xf numFmtId="170" fontId="1" fillId="0" borderId="0" applyFont="0" applyFill="0" applyBorder="0" applyAlignment="0" applyProtection="0"/>
    <xf numFmtId="0" fontId="4" fillId="0" borderId="0"/>
    <xf numFmtId="0" fontId="1" fillId="48" borderId="0" applyNumberFormat="0" applyBorder="0" applyAlignment="0" applyProtection="0"/>
    <xf numFmtId="0" fontId="4" fillId="0" borderId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51" borderId="0" applyNumberFormat="0" applyBorder="0" applyAlignment="0" applyProtection="0"/>
    <xf numFmtId="0" fontId="36" fillId="55" borderId="0" applyNumberFormat="0" applyBorder="0" applyAlignment="0" applyProtection="0"/>
    <xf numFmtId="0" fontId="36" fillId="58" borderId="0" applyNumberFormat="0" applyBorder="0" applyAlignment="0" applyProtection="0"/>
    <xf numFmtId="0" fontId="36" fillId="60" borderId="0" applyNumberFormat="0" applyBorder="0" applyAlignment="0" applyProtection="0"/>
    <xf numFmtId="0" fontId="37" fillId="61" borderId="0" applyNumberFormat="0" applyBorder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64" borderId="0" applyNumberFormat="0" applyBorder="0" applyAlignment="0" applyProtection="0"/>
    <xf numFmtId="0" fontId="37" fillId="65" borderId="0" applyNumberFormat="0" applyBorder="0" applyAlignment="0" applyProtection="0"/>
    <xf numFmtId="0" fontId="37" fillId="66" borderId="0" applyNumberFormat="0" applyBorder="0" applyAlignment="0" applyProtection="0"/>
    <xf numFmtId="0" fontId="37" fillId="67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37" fillId="68" borderId="0" applyNumberFormat="0" applyBorder="0" applyAlignment="0" applyProtection="0"/>
    <xf numFmtId="0" fontId="38" fillId="53" borderId="0" applyNumberFormat="0" applyBorder="0" applyAlignment="0" applyProtection="0"/>
    <xf numFmtId="0" fontId="39" fillId="69" borderId="42" applyNumberFormat="0" applyAlignment="0" applyProtection="0"/>
    <xf numFmtId="0" fontId="40" fillId="70" borderId="43" applyNumberFormat="0" applyAlignment="0" applyProtection="0"/>
    <xf numFmtId="172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43" fillId="0" borderId="44" applyNumberFormat="0" applyFill="0" applyAlignment="0" applyProtection="0"/>
    <xf numFmtId="0" fontId="44" fillId="0" borderId="4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5" fillId="57" borderId="42" applyNumberFormat="0" applyAlignment="0" applyProtection="0"/>
    <xf numFmtId="0" fontId="46" fillId="0" borderId="46" applyNumberFormat="0" applyFill="0" applyAlignment="0" applyProtection="0"/>
    <xf numFmtId="0" fontId="47" fillId="71" borderId="0" applyNumberFormat="0" applyBorder="0" applyAlignment="0" applyProtection="0"/>
    <xf numFmtId="0" fontId="4" fillId="72" borderId="41" applyNumberFormat="0" applyFont="0" applyAlignment="0" applyProtection="0"/>
    <xf numFmtId="0" fontId="48" fillId="69" borderId="47" applyNumberFormat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72" borderId="4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Font="0" applyBorder="0"/>
    <xf numFmtId="0" fontId="16" fillId="4" borderId="0" applyNumberFormat="0" applyBorder="0" applyAlignment="0" applyProtection="0"/>
    <xf numFmtId="0" fontId="7" fillId="2" borderId="4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20" fillId="4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1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5">
    <xf numFmtId="0" fontId="0" fillId="2" borderId="0" xfId="0"/>
    <xf numFmtId="0" fontId="4" fillId="2" borderId="0" xfId="0" applyFont="1" applyProtection="1"/>
    <xf numFmtId="0" fontId="4" fillId="2" borderId="0" xfId="0" applyFont="1" applyBorder="1" applyProtection="1"/>
    <xf numFmtId="0" fontId="7" fillId="2" borderId="0" xfId="7" applyFill="1" applyBorder="1" applyAlignment="1"/>
    <xf numFmtId="0" fontId="5" fillId="2" borderId="0" xfId="8" applyFill="1" applyProtection="1"/>
    <xf numFmtId="0" fontId="11" fillId="2" borderId="0" xfId="0" applyFont="1" applyProtection="1"/>
    <xf numFmtId="0" fontId="0" fillId="2" borderId="0" xfId="0" applyBorder="1" applyProtection="1"/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5" fillId="2" borderId="0" xfId="8" applyFont="1" applyFill="1" applyBorder="1" applyProtection="1"/>
    <xf numFmtId="0" fontId="5" fillId="2" borderId="0" xfId="8" applyFill="1" applyBorder="1" applyProtection="1"/>
    <xf numFmtId="0" fontId="0" fillId="0" borderId="0" xfId="0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 applyProtection="1">
      <alignment horizontal="left" indent="1"/>
    </xf>
    <xf numFmtId="0" fontId="0" fillId="2" borderId="0" xfId="0" applyFont="1" applyBorder="1" applyAlignment="1" applyProtection="1">
      <alignment horizontal="center"/>
    </xf>
    <xf numFmtId="0" fontId="12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4" fillId="2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Alignment="1">
      <alignment vertical="center"/>
    </xf>
    <xf numFmtId="0" fontId="4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5" fillId="2" borderId="0" xfId="8" applyFill="1" applyBorder="1" applyAlignment="1" applyProtection="1">
      <alignment horizontal="left" vertical="center"/>
    </xf>
    <xf numFmtId="0" fontId="5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Border="1" applyAlignment="1" applyProtection="1">
      <alignment horizontal="left" vertical="center"/>
    </xf>
    <xf numFmtId="0" fontId="4" fillId="2" borderId="0" xfId="0" applyFont="1" applyBorder="1" applyAlignment="1" applyProtection="1">
      <alignment horizontal="center" vertical="center"/>
    </xf>
    <xf numFmtId="49" fontId="5" fillId="6" borderId="0" xfId="8" applyNumberFormat="1" applyFill="1" applyBorder="1" applyAlignment="1" applyProtection="1">
      <alignment horizontal="left" vertical="center" indent="1"/>
    </xf>
    <xf numFmtId="0" fontId="5" fillId="6" borderId="0" xfId="8" applyFill="1" applyBorder="1" applyAlignment="1" applyProtection="1">
      <alignment horizontal="left" vertical="center" indent="1"/>
    </xf>
    <xf numFmtId="0" fontId="4" fillId="6" borderId="0" xfId="0" applyFont="1" applyFill="1" applyBorder="1" applyAlignment="1" applyProtection="1">
      <alignment horizontal="left" vertical="center" indent="1"/>
    </xf>
    <xf numFmtId="0" fontId="4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6" fillId="2" borderId="0" xfId="0" applyFont="1" applyBorder="1" applyAlignment="1" applyProtection="1">
      <alignment horizontal="center" vertical="center" wrapText="1"/>
    </xf>
    <xf numFmtId="0" fontId="0" fillId="2" borderId="0" xfId="0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2" borderId="0" xfId="0" applyFont="1" applyBorder="1" applyAlignment="1" applyProtection="1">
      <alignment vertical="center"/>
    </xf>
    <xf numFmtId="0" fontId="6" fillId="2" borderId="0" xfId="0" applyFont="1" applyBorder="1" applyAlignment="1" applyProtection="1">
      <alignment horizontal="center" vertical="center"/>
    </xf>
    <xf numFmtId="0" fontId="5" fillId="2" borderId="0" xfId="8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8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4" fillId="8" borderId="14" xfId="0" applyFont="1" applyFill="1" applyBorder="1" applyAlignment="1" applyProtection="1">
      <alignment horizontal="center" vertical="center"/>
    </xf>
    <xf numFmtId="0" fontId="4" fillId="10" borderId="14" xfId="0" applyFont="1" applyFill="1" applyBorder="1" applyAlignment="1" applyProtection="1">
      <alignment vertical="center"/>
    </xf>
    <xf numFmtId="167" fontId="4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4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4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0" fontId="8" fillId="6" borderId="14" xfId="2" applyFont="1" applyFill="1" applyBorder="1" applyAlignment="1" applyProtection="1">
      <alignment horizontal="center" vertical="center"/>
    </xf>
    <xf numFmtId="49" fontId="0" fillId="8" borderId="16" xfId="0" applyNumberFormat="1" applyFill="1" applyBorder="1" applyAlignment="1" applyProtection="1">
      <alignment horizontal="left" vertical="center" indent="1"/>
    </xf>
    <xf numFmtId="0" fontId="4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6" fillId="8" borderId="18" xfId="0" applyNumberFormat="1" applyFont="1" applyFill="1" applyBorder="1" applyAlignment="1" applyProtection="1">
      <alignment horizontal="left" vertical="center"/>
    </xf>
    <xf numFmtId="49" fontId="6" fillId="8" borderId="19" xfId="0" applyNumberFormat="1" applyFont="1" applyFill="1" applyBorder="1" applyAlignment="1" applyProtection="1">
      <alignment horizontal="left" vertical="center"/>
    </xf>
    <xf numFmtId="0" fontId="4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5" fillId="5" borderId="18" xfId="4" applyBorder="1" applyProtection="1">
      <alignment horizontal="left" vertical="center" indent="1"/>
    </xf>
    <xf numFmtId="0" fontId="5" fillId="5" borderId="19" xfId="0" applyFont="1" applyFill="1" applyBorder="1" applyAlignment="1" applyProtection="1">
      <alignment horizontal="left" vertical="center"/>
    </xf>
    <xf numFmtId="0" fontId="5" fillId="5" borderId="20" xfId="0" applyFont="1" applyFill="1" applyBorder="1" applyAlignment="1" applyProtection="1">
      <alignment horizontal="left" vertical="center"/>
    </xf>
    <xf numFmtId="0" fontId="4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4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6" fillId="8" borderId="22" xfId="0" applyNumberFormat="1" applyFont="1" applyFill="1" applyBorder="1" applyAlignment="1" applyProtection="1">
      <alignment horizontal="left" vertical="center"/>
    </xf>
    <xf numFmtId="49" fontId="6" fillId="8" borderId="23" xfId="0" applyNumberFormat="1" applyFont="1" applyFill="1" applyBorder="1" applyAlignment="1" applyProtection="1">
      <alignment horizontal="left" vertical="center"/>
    </xf>
    <xf numFmtId="3" fontId="4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4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6" fillId="8" borderId="24" xfId="0" applyNumberFormat="1" applyFont="1" applyFill="1" applyBorder="1" applyAlignment="1" applyProtection="1">
      <alignment horizontal="left" vertical="center"/>
    </xf>
    <xf numFmtId="0" fontId="4" fillId="8" borderId="23" xfId="0" applyFont="1" applyFill="1" applyBorder="1" applyAlignment="1" applyProtection="1">
      <alignment vertical="center"/>
    </xf>
    <xf numFmtId="0" fontId="5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4" fillId="2" borderId="0" xfId="0" applyFont="1" applyBorder="1" applyAlignment="1">
      <alignment horizontal="left" vertical="center" indent="1"/>
    </xf>
    <xf numFmtId="0" fontId="4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5" fillId="6" borderId="25" xfId="8" applyFont="1" applyFill="1" applyBorder="1" applyAlignment="1" applyProtection="1">
      <alignment horizontal="left" vertical="center"/>
    </xf>
    <xf numFmtId="0" fontId="4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5" fillId="2" borderId="25" xfId="8" applyFont="1" applyFill="1" applyBorder="1" applyAlignment="1" applyProtection="1">
      <alignment horizontal="left" vertical="center"/>
    </xf>
    <xf numFmtId="0" fontId="5" fillId="6" borderId="25" xfId="8" applyFont="1" applyFill="1" applyBorder="1" applyAlignment="1" applyProtection="1">
      <alignment horizontal="left" vertical="center" indent="1"/>
    </xf>
    <xf numFmtId="0" fontId="4" fillId="6" borderId="25" xfId="0" applyFont="1" applyFill="1" applyBorder="1" applyAlignment="1" applyProtection="1">
      <alignment horizontal="left" vertical="center" indent="1"/>
    </xf>
    <xf numFmtId="0" fontId="4" fillId="2" borderId="25" xfId="0" applyFont="1" applyFill="1" applyBorder="1" applyAlignment="1" applyProtection="1">
      <alignment horizontal="left" vertical="center" indent="1"/>
    </xf>
    <xf numFmtId="49" fontId="0" fillId="0" borderId="26" xfId="0" applyNumberForma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4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4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4" fillId="2" borderId="28" xfId="0" applyFont="1" applyBorder="1" applyAlignment="1" applyProtection="1">
      <alignment vertical="center"/>
    </xf>
    <xf numFmtId="0" fontId="4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7" fillId="2" borderId="0" xfId="7" applyFill="1" applyBorder="1" applyAlignment="1" applyProtection="1">
      <alignment horizontal="center"/>
    </xf>
    <xf numFmtId="0" fontId="7" fillId="2" borderId="0" xfId="7" applyFill="1" applyBorder="1" applyAlignment="1" applyProtection="1"/>
    <xf numFmtId="0" fontId="5" fillId="5" borderId="18" xfId="4" applyFill="1" applyBorder="1" applyProtection="1">
      <alignment horizontal="left" vertical="center" indent="1"/>
    </xf>
    <xf numFmtId="0" fontId="5" fillId="5" borderId="19" xfId="8" applyFill="1" applyBorder="1" applyAlignment="1" applyProtection="1">
      <alignment vertical="center"/>
    </xf>
    <xf numFmtId="0" fontId="5" fillId="5" borderId="20" xfId="8" applyFill="1" applyBorder="1" applyAlignment="1" applyProtection="1">
      <alignment vertical="center"/>
    </xf>
    <xf numFmtId="0" fontId="4" fillId="2" borderId="25" xfId="0" applyFont="1" applyBorder="1" applyProtection="1"/>
    <xf numFmtId="0" fontId="4" fillId="2" borderId="26" xfId="0" applyFont="1" applyFill="1" applyBorder="1" applyAlignment="1" applyProtection="1">
      <alignment vertical="center"/>
    </xf>
    <xf numFmtId="0" fontId="11" fillId="2" borderId="26" xfId="0" applyFont="1" applyFill="1" applyBorder="1" applyAlignment="1" applyProtection="1">
      <alignment horizontal="center" vertical="center"/>
    </xf>
    <xf numFmtId="0" fontId="4" fillId="2" borderId="26" xfId="0" applyFont="1" applyBorder="1" applyAlignment="1" applyProtection="1">
      <alignment vertical="center"/>
    </xf>
    <xf numFmtId="0" fontId="4" fillId="2" borderId="27" xfId="0" applyFont="1" applyBorder="1" applyProtection="1"/>
    <xf numFmtId="0" fontId="4" fillId="2" borderId="29" xfId="0" applyFont="1" applyBorder="1" applyAlignment="1" applyProtection="1">
      <alignment vertical="center"/>
    </xf>
    <xf numFmtId="49" fontId="6" fillId="13" borderId="14" xfId="0" applyNumberFormat="1" applyFont="1" applyFill="1" applyBorder="1" applyAlignment="1" applyProtection="1">
      <alignment horizontal="left" vertical="center" indent="1"/>
    </xf>
    <xf numFmtId="0" fontId="4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6" fillId="13" borderId="14" xfId="0" applyNumberFormat="1" applyFont="1" applyFill="1" applyBorder="1" applyAlignment="1" applyProtection="1">
      <alignment horizontal="center" vertical="center"/>
    </xf>
    <xf numFmtId="49" fontId="6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4" fillId="2" borderId="14" xfId="0" applyNumberFormat="1" applyFont="1" applyBorder="1" applyAlignment="1" applyProtection="1">
      <alignment horizontal="left" vertical="center" indent="1"/>
    </xf>
    <xf numFmtId="0" fontId="4" fillId="2" borderId="14" xfId="0" applyNumberFormat="1" applyFont="1" applyBorder="1" applyAlignment="1" applyProtection="1">
      <alignment vertical="center"/>
    </xf>
    <xf numFmtId="0" fontId="4" fillId="2" borderId="14" xfId="0" applyFont="1" applyBorder="1" applyAlignment="1" applyProtection="1">
      <alignment vertical="center"/>
    </xf>
    <xf numFmtId="0" fontId="4" fillId="2" borderId="14" xfId="0" applyFont="1" applyBorder="1" applyAlignment="1" applyProtection="1">
      <alignment horizontal="left" vertical="center"/>
    </xf>
    <xf numFmtId="0" fontId="4" fillId="13" borderId="22" xfId="0" applyFont="1" applyFill="1" applyBorder="1" applyAlignment="1" applyProtection="1">
      <alignment vertical="center"/>
    </xf>
    <xf numFmtId="0" fontId="4" fillId="13" borderId="23" xfId="0" applyFont="1" applyFill="1" applyBorder="1" applyAlignment="1" applyProtection="1">
      <alignment vertical="center"/>
    </xf>
    <xf numFmtId="0" fontId="4" fillId="13" borderId="25" xfId="0" applyFont="1" applyFill="1" applyBorder="1" applyAlignment="1" applyProtection="1">
      <alignment vertical="center"/>
    </xf>
    <xf numFmtId="0" fontId="4" fillId="13" borderId="26" xfId="0" applyFont="1" applyFill="1" applyBorder="1" applyAlignment="1" applyProtection="1">
      <alignment vertical="center"/>
    </xf>
    <xf numFmtId="0" fontId="4" fillId="13" borderId="27" xfId="0" applyFont="1" applyFill="1" applyBorder="1" applyAlignment="1" applyProtection="1">
      <alignment vertical="center"/>
    </xf>
    <xf numFmtId="0" fontId="4" fillId="13" borderId="29" xfId="0" applyFont="1" applyFill="1" applyBorder="1" applyAlignment="1" applyProtection="1">
      <alignment vertical="center"/>
    </xf>
    <xf numFmtId="49" fontId="6" fillId="13" borderId="18" xfId="0" applyNumberFormat="1" applyFont="1" applyFill="1" applyBorder="1" applyAlignment="1" applyProtection="1">
      <alignment horizontal="left" vertical="center" indent="1"/>
    </xf>
    <xf numFmtId="0" fontId="4" fillId="2" borderId="14" xfId="0" applyFont="1" applyBorder="1" applyAlignment="1" applyProtection="1">
      <alignment horizontal="left" vertical="center" indent="1"/>
    </xf>
    <xf numFmtId="0" fontId="4" fillId="2" borderId="18" xfId="0" applyFont="1" applyBorder="1" applyAlignment="1" applyProtection="1">
      <alignment horizontal="left" vertical="center" indent="1"/>
    </xf>
    <xf numFmtId="0" fontId="4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0" fontId="6" fillId="2" borderId="18" xfId="0" applyFont="1" applyBorder="1" applyAlignment="1" applyProtection="1">
      <alignment horizontal="center" vertical="center" wrapText="1"/>
    </xf>
    <xf numFmtId="0" fontId="6" fillId="2" borderId="20" xfId="0" applyFont="1" applyBorder="1" applyAlignment="1" applyProtection="1">
      <alignment vertical="center" wrapText="1"/>
    </xf>
    <xf numFmtId="3" fontId="0" fillId="2" borderId="18" xfId="0" applyNumberFormat="1" applyBorder="1" applyAlignment="1" applyProtection="1">
      <alignment horizontal="left" vertical="center" indent="1"/>
    </xf>
    <xf numFmtId="3" fontId="4" fillId="2" borderId="19" xfId="0" applyNumberFormat="1" applyFont="1" applyBorder="1" applyAlignment="1" applyProtection="1">
      <alignment horizontal="right" vertical="center"/>
    </xf>
    <xf numFmtId="3" fontId="4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4" fillId="2" borderId="19" xfId="0" applyFont="1" applyBorder="1" applyAlignment="1" applyProtection="1">
      <alignment horizontal="left" vertical="center"/>
    </xf>
    <xf numFmtId="3" fontId="4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4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13" fillId="2" borderId="0" xfId="7" applyFont="1" applyFill="1" applyBorder="1" applyAlignment="1" applyProtection="1">
      <alignment horizontal="center" vertical="center"/>
    </xf>
    <xf numFmtId="0" fontId="10" fillId="2" borderId="0" xfId="7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4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28" xfId="0" applyFont="1" applyBorder="1" applyAlignment="1" applyProtection="1">
      <alignment horizontal="center" vertical="center"/>
    </xf>
    <xf numFmtId="3" fontId="4" fillId="2" borderId="28" xfId="0" applyNumberFormat="1" applyFont="1" applyBorder="1" applyAlignment="1" applyProtection="1">
      <alignment horizontal="right" vertical="center"/>
    </xf>
    <xf numFmtId="49" fontId="4" fillId="2" borderId="28" xfId="0" applyNumberFormat="1" applyFont="1" applyBorder="1" applyAlignment="1" applyProtection="1">
      <alignment horizontal="left" vertical="center" indent="1"/>
    </xf>
    <xf numFmtId="0" fontId="12" fillId="2" borderId="28" xfId="0" applyFont="1" applyBorder="1" applyAlignment="1" applyProtection="1">
      <alignment horizontal="center" vertical="center"/>
    </xf>
    <xf numFmtId="0" fontId="5" fillId="6" borderId="22" xfId="8" applyFont="1" applyFill="1" applyBorder="1" applyAlignment="1" applyProtection="1">
      <alignment horizontal="left" vertical="center" indent="1"/>
    </xf>
    <xf numFmtId="0" fontId="5" fillId="6" borderId="24" xfId="8" applyFill="1" applyBorder="1" applyAlignment="1" applyProtection="1">
      <alignment horizontal="left" vertical="center" indent="1"/>
    </xf>
    <xf numFmtId="0" fontId="5" fillId="2" borderId="24" xfId="8" applyFill="1" applyBorder="1" applyAlignment="1" applyProtection="1">
      <alignment horizontal="left" vertical="center"/>
    </xf>
    <xf numFmtId="0" fontId="5" fillId="2" borderId="24" xfId="8" applyFill="1" applyBorder="1" applyAlignment="1" applyProtection="1">
      <alignment horizontal="center" vertical="center"/>
    </xf>
    <xf numFmtId="0" fontId="5" fillId="2" borderId="24" xfId="8" applyFill="1" applyBorder="1" applyAlignment="1" applyProtection="1">
      <alignment vertical="center"/>
    </xf>
    <xf numFmtId="49" fontId="5" fillId="6" borderId="24" xfId="8" applyNumberFormat="1" applyFill="1" applyBorder="1" applyAlignment="1" applyProtection="1">
      <alignment horizontal="left" vertical="center" indent="1"/>
    </xf>
    <xf numFmtId="0" fontId="12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7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4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3" fontId="4" fillId="6" borderId="14" xfId="0" applyNumberFormat="1" applyFont="1" applyFill="1" applyBorder="1" applyAlignment="1" applyProtection="1">
      <alignment horizontal="right" vertical="center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horizontal="left" vertical="center" indent="1"/>
    </xf>
    <xf numFmtId="0" fontId="17" fillId="9" borderId="14" xfId="11" applyFill="1" applyBorder="1" applyAlignment="1" applyProtection="1">
      <alignment horizontal="left" vertical="center" indent="1"/>
      <protection locked="0"/>
    </xf>
    <xf numFmtId="0" fontId="4" fillId="2" borderId="0" xfId="0" applyFont="1" applyAlignment="1" applyProtection="1">
      <alignment vertical="center"/>
    </xf>
    <xf numFmtId="0" fontId="4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4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4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6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4" xfId="0" applyFill="1" applyBorder="1" applyAlignment="1" applyProtection="1">
      <alignment horizontal="left" vertical="center" indent="1"/>
    </xf>
    <xf numFmtId="0" fontId="0" fillId="6" borderId="23" xfId="0" applyFont="1" applyFill="1" applyBorder="1" applyAlignment="1" applyProtection="1">
      <alignment vertical="center"/>
    </xf>
    <xf numFmtId="0" fontId="0" fillId="12" borderId="19" xfId="0" applyFont="1" applyFill="1" applyBorder="1" applyAlignment="1" applyProtection="1">
      <alignment vertical="center"/>
    </xf>
    <xf numFmtId="0" fontId="4" fillId="12" borderId="29" xfId="0" applyFont="1" applyFill="1" applyBorder="1" applyAlignment="1" applyProtection="1">
      <alignment vertical="center"/>
    </xf>
    <xf numFmtId="0" fontId="0" fillId="9" borderId="30" xfId="0" applyFont="1" applyFill="1" applyBorder="1" applyAlignment="1" applyProtection="1">
      <alignment horizontal="left" vertical="top" wrapText="1" indent="1"/>
      <protection locked="0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4" fillId="19" borderId="22" xfId="0" applyNumberFormat="1" applyFont="1" applyFill="1" applyBorder="1" applyAlignment="1" applyProtection="1">
      <alignment horizontal="right" vertical="center"/>
    </xf>
    <xf numFmtId="0" fontId="4" fillId="19" borderId="23" xfId="0" applyFont="1" applyFill="1" applyBorder="1" applyAlignment="1" applyProtection="1">
      <alignment horizontal="left" vertical="center"/>
    </xf>
    <xf numFmtId="169" fontId="4" fillId="19" borderId="25" xfId="0" applyNumberFormat="1" applyFont="1" applyFill="1" applyBorder="1" applyAlignment="1" applyProtection="1">
      <alignment horizontal="right" vertical="center"/>
    </xf>
    <xf numFmtId="0" fontId="4" fillId="19" borderId="26" xfId="0" applyFont="1" applyFill="1" applyBorder="1" applyAlignment="1" applyProtection="1">
      <alignment horizontal="left" vertical="center"/>
    </xf>
    <xf numFmtId="0" fontId="0" fillId="19" borderId="26" xfId="0" applyFill="1" applyBorder="1" applyAlignment="1" applyProtection="1">
      <alignment vertical="center"/>
    </xf>
    <xf numFmtId="0" fontId="4" fillId="19" borderId="26" xfId="0" applyFont="1" applyFill="1" applyBorder="1" applyAlignment="1" applyProtection="1">
      <alignment vertical="center"/>
    </xf>
    <xf numFmtId="169" fontId="4" fillId="19" borderId="27" xfId="0" applyNumberFormat="1" applyFont="1" applyFill="1" applyBorder="1" applyAlignment="1" applyProtection="1">
      <alignment horizontal="right" vertical="center"/>
    </xf>
    <xf numFmtId="0" fontId="4" fillId="19" borderId="29" xfId="0" applyFont="1" applyFill="1" applyBorder="1" applyAlignment="1" applyProtection="1">
      <alignment vertical="center"/>
    </xf>
    <xf numFmtId="3" fontId="4" fillId="9" borderId="14" xfId="1" applyFill="1" applyBorder="1" applyProtection="1">
      <alignment horizontal="right" vertical="center"/>
      <protection locked="0"/>
    </xf>
    <xf numFmtId="3" fontId="4" fillId="9" borderId="14" xfId="1" applyFont="1" applyFill="1" applyBorder="1" applyProtection="1">
      <alignment horizontal="right" vertical="center"/>
      <protection locked="0"/>
    </xf>
    <xf numFmtId="3" fontId="4" fillId="20" borderId="0" xfId="18" applyNumberFormat="1" applyFont="1" applyFill="1" applyBorder="1" applyAlignment="1">
      <alignment vertical="center"/>
    </xf>
    <xf numFmtId="3" fontId="0" fillId="9" borderId="14" xfId="5" applyNumberFormat="1" applyFont="1" applyFill="1" applyBorder="1" applyAlignment="1" applyProtection="1">
      <alignment horizontal="right" vertical="center"/>
      <protection locked="0"/>
    </xf>
    <xf numFmtId="3" fontId="0" fillId="9" borderId="14" xfId="1" applyFont="1" applyFill="1" applyBorder="1" applyProtection="1">
      <alignment horizontal="right" vertical="center"/>
      <protection locked="0"/>
    </xf>
    <xf numFmtId="3" fontId="4" fillId="6" borderId="14" xfId="14" applyBorder="1" applyProtection="1">
      <alignment horizontal="right" vertical="center"/>
      <protection locked="0"/>
    </xf>
    <xf numFmtId="0" fontId="7" fillId="2" borderId="0" xfId="7" applyFont="1" applyFill="1" applyBorder="1" applyAlignment="1" applyProtection="1">
      <alignment horizontal="center" vertical="center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0" fontId="0" fillId="12" borderId="14" xfId="0" applyFont="1" applyFill="1" applyBorder="1" applyAlignment="1" applyProtection="1">
      <alignment horizontal="left" vertical="center" wrapText="1" indent="1"/>
    </xf>
    <xf numFmtId="168" fontId="0" fillId="2" borderId="18" xfId="0" applyNumberFormat="1" applyFont="1" applyBorder="1" applyAlignment="1" applyProtection="1">
      <alignment horizontal="left" vertical="center" indent="1"/>
    </xf>
    <xf numFmtId="168" fontId="0" fillId="2" borderId="20" xfId="0" applyNumberFormat="1" applyFont="1" applyBorder="1" applyAlignment="1" applyProtection="1">
      <alignment horizontal="left" vertical="center" indent="1"/>
    </xf>
    <xf numFmtId="0" fontId="6" fillId="2" borderId="14" xfId="0" applyFont="1" applyBorder="1" applyAlignment="1" applyProtection="1">
      <alignment horizontal="center" vertical="center" wrapText="1"/>
    </xf>
  </cellXfs>
  <cellStyles count="169">
    <cellStyle name="20% - Accent1" xfId="43" builtinId="30" customBuiltin="1"/>
    <cellStyle name="20% - Accent1 2" xfId="74"/>
    <cellStyle name="20% - Accent2" xfId="47" builtinId="34" customBuiltin="1"/>
    <cellStyle name="20% - Accent2 2" xfId="75"/>
    <cellStyle name="20% - Accent3" xfId="51" builtinId="38" customBuiltin="1"/>
    <cellStyle name="20% - Accent3 2" xfId="76"/>
    <cellStyle name="20% - Accent4" xfId="55" builtinId="42" customBuiltin="1"/>
    <cellStyle name="20% - Accent4 2" xfId="77"/>
    <cellStyle name="20% - Accent5" xfId="59" builtinId="46" customBuiltin="1"/>
    <cellStyle name="20% - Accent5 2" xfId="78"/>
    <cellStyle name="20% - Accent6" xfId="63" builtinId="50" customBuiltin="1"/>
    <cellStyle name="20% - Accent6 2" xfId="72"/>
    <cellStyle name="40% - Accent1" xfId="44" builtinId="31" customBuiltin="1"/>
    <cellStyle name="40% - Accent1 2" xfId="79"/>
    <cellStyle name="40% - Accent2" xfId="48" builtinId="35" customBuiltin="1"/>
    <cellStyle name="40% - Accent2 2" xfId="80"/>
    <cellStyle name="40% - Accent3" xfId="52" builtinId="39" customBuiltin="1"/>
    <cellStyle name="40% - Accent3 2" xfId="81"/>
    <cellStyle name="40% - Accent4" xfId="56" builtinId="43" customBuiltin="1"/>
    <cellStyle name="40% - Accent4 2" xfId="82"/>
    <cellStyle name="40% - Accent5" xfId="60" builtinId="47" customBuiltin="1"/>
    <cellStyle name="40% - Accent5 2" xfId="83"/>
    <cellStyle name="40% - Accent6" xfId="64" builtinId="51" customBuiltin="1"/>
    <cellStyle name="40% - Accent6 2" xfId="84"/>
    <cellStyle name="60% - Accent1" xfId="45" builtinId="32" customBuiltin="1"/>
    <cellStyle name="60% - Accent1 2" xfId="85"/>
    <cellStyle name="60% - Accent2" xfId="49" builtinId="36" customBuiltin="1"/>
    <cellStyle name="60% - Accent2 2" xfId="86"/>
    <cellStyle name="60% - Accent3" xfId="53" builtinId="40" customBuiltin="1"/>
    <cellStyle name="60% - Accent3 2" xfId="87"/>
    <cellStyle name="60% - Accent4" xfId="57" builtinId="44" customBuiltin="1"/>
    <cellStyle name="60% - Accent4 2" xfId="88"/>
    <cellStyle name="60% - Accent5" xfId="61" builtinId="48" customBuiltin="1"/>
    <cellStyle name="60% - Accent5 2" xfId="89"/>
    <cellStyle name="60% - Accent6" xfId="65" builtinId="52" customBuiltin="1"/>
    <cellStyle name="60% - Accent6 2" xfId="90"/>
    <cellStyle name="Accent1" xfId="42" builtinId="29" customBuiltin="1"/>
    <cellStyle name="Accent1 2" xfId="91"/>
    <cellStyle name="Accent2" xfId="46" builtinId="33" customBuiltin="1"/>
    <cellStyle name="Accent2 2" xfId="92"/>
    <cellStyle name="Accent3" xfId="50" builtinId="37" customBuiltin="1"/>
    <cellStyle name="Accent3 2" xfId="93"/>
    <cellStyle name="Accent4" xfId="54" builtinId="41" customBuiltin="1"/>
    <cellStyle name="Accent4 2" xfId="94"/>
    <cellStyle name="Accent5" xfId="58" builtinId="45" customBuiltin="1"/>
    <cellStyle name="Accent5 2" xfId="95"/>
    <cellStyle name="Accent6" xfId="62" builtinId="49" customBuiltin="1"/>
    <cellStyle name="Accent6 2" xfId="96"/>
    <cellStyle name="Amounts" xfId="1"/>
    <cellStyle name="Bad" xfId="2" builtinId="27"/>
    <cellStyle name="Bad 2" xfId="23"/>
    <cellStyle name="Bad 2 2" xfId="161"/>
    <cellStyle name="Bad 2 3" xfId="97"/>
    <cellStyle name="Bad 3" xfId="152"/>
    <cellStyle name="Calculated" xfId="3"/>
    <cellStyle name="Calculation" xfId="36" builtinId="22" customBuiltin="1"/>
    <cellStyle name="Calculation 2" xfId="98"/>
    <cellStyle name="Category" xfId="4"/>
    <cellStyle name="Check Cell" xfId="38" builtinId="23" customBuiltin="1"/>
    <cellStyle name="Check Cell 2" xfId="99"/>
    <cellStyle name="Comma" xfId="5" builtinId="3"/>
    <cellStyle name="Comma 10" xfId="122"/>
    <cellStyle name="Comma 11" xfId="115"/>
    <cellStyle name="Comma 12" xfId="168"/>
    <cellStyle name="Comma 2" xfId="19"/>
    <cellStyle name="Comma 2 2" xfId="120"/>
    <cellStyle name="Comma 2 2 2" xfId="124"/>
    <cellStyle name="Comma 2 3" xfId="123"/>
    <cellStyle name="Comma 2 4" xfId="118"/>
    <cellStyle name="Comma 2 5" xfId="157"/>
    <cellStyle name="Comma 2 6" xfId="70"/>
    <cellStyle name="Comma 3" xfId="25"/>
    <cellStyle name="Comma 3 2" xfId="126"/>
    <cellStyle name="Comma 3 3" xfId="125"/>
    <cellStyle name="Comma 3 4" xfId="163"/>
    <cellStyle name="Comma 3 5" xfId="119"/>
    <cellStyle name="Comma 4" xfId="27"/>
    <cellStyle name="Comma 4 2" xfId="128"/>
    <cellStyle name="Comma 4 3" xfId="165"/>
    <cellStyle name="Comma 4 4" xfId="127"/>
    <cellStyle name="Comma 5" xfId="129"/>
    <cellStyle name="Comma 5 2" xfId="130"/>
    <cellStyle name="Comma 6" xfId="131"/>
    <cellStyle name="Comma 6 2" xfId="132"/>
    <cellStyle name="Comma 7" xfId="133"/>
    <cellStyle name="Comma 8" xfId="134"/>
    <cellStyle name="Comma 9" xfId="121"/>
    <cellStyle name="Comments" xfId="6"/>
    <cellStyle name="Currency 2" xfId="28"/>
    <cellStyle name="Currency 2 2" xfId="166"/>
    <cellStyle name="Currency 2 3" xfId="136"/>
    <cellStyle name="Currency 3" xfId="137"/>
    <cellStyle name="Currency 3 2" xfId="138"/>
    <cellStyle name="Currency 3 3" xfId="139"/>
    <cellStyle name="Currency 4" xfId="140"/>
    <cellStyle name="Currency 5" xfId="135"/>
    <cellStyle name="Euro" xfId="100"/>
    <cellStyle name="Explanatory Text" xfId="40" builtinId="53" customBuiltin="1"/>
    <cellStyle name="Explanatory Text 2" xfId="101"/>
    <cellStyle name="Good" xfId="32" builtinId="26" customBuiltin="1"/>
    <cellStyle name="Good 2" xfId="102"/>
    <cellStyle name="Heading 1" xfId="7"/>
    <cellStyle name="Heading 1 2" xfId="21"/>
    <cellStyle name="Heading 1 2 2" xfId="159"/>
    <cellStyle name="Heading 1 2 3" xfId="103"/>
    <cellStyle name="Heading 1 3" xfId="153"/>
    <cellStyle name="Heading 2" xfId="8"/>
    <cellStyle name="Heading 2 2" xfId="22"/>
    <cellStyle name="Heading 2 2 2" xfId="160"/>
    <cellStyle name="Heading 2 2 3" xfId="104"/>
    <cellStyle name="Heading 2 3" xfId="154"/>
    <cellStyle name="Heading 3" xfId="9"/>
    <cellStyle name="Heading 3 2" xfId="105"/>
    <cellStyle name="Heading 3 3" xfId="67"/>
    <cellStyle name="Heading 4" xfId="10"/>
    <cellStyle name="Heading 4 2" xfId="106"/>
    <cellStyle name="Heading 4 3" xfId="68"/>
    <cellStyle name="Hyperlink" xfId="11" builtinId="8"/>
    <cellStyle name="Hyperlink 5" xfId="141"/>
    <cellStyle name="Input" xfId="34" builtinId="20" customBuiltin="1"/>
    <cellStyle name="Input 2" xfId="107"/>
    <cellStyle name="Linked Cell" xfId="37" builtinId="24" customBuiltin="1"/>
    <cellStyle name="Linked Cell 2" xfId="108"/>
    <cellStyle name="Neutral" xfId="33" builtinId="28" customBuiltin="1"/>
    <cellStyle name="Neutral 2" xfId="109"/>
    <cellStyle name="Normal" xfId="0" builtinId="0"/>
    <cellStyle name="Normal 11" xfId="29"/>
    <cellStyle name="Normal 2" xfId="18"/>
    <cellStyle name="Normal 2 2" xfId="116"/>
    <cellStyle name="Normal 2 3" xfId="156"/>
    <cellStyle name="Normal 2 4" xfId="73"/>
    <cellStyle name="Normal 3" xfId="24"/>
    <cellStyle name="Normal 3 2" xfId="162"/>
    <cellStyle name="Normal 3 3" xfId="71"/>
    <cellStyle name="Normal 4" xfId="26"/>
    <cellStyle name="Normal 4 2" xfId="143"/>
    <cellStyle name="Normal 4 3" xfId="164"/>
    <cellStyle name="Normal 4 4" xfId="142"/>
    <cellStyle name="Normal 5" xfId="151"/>
    <cellStyle name="Normal 6" xfId="66"/>
    <cellStyle name="Normal 8" xfId="144"/>
    <cellStyle name="Normal 8 2" xfId="145"/>
    <cellStyle name="Normal 9" xfId="146"/>
    <cellStyle name="Normal 9 2" xfId="147"/>
    <cellStyle name="Note 2" xfId="110"/>
    <cellStyle name="Note 2 2" xfId="117"/>
    <cellStyle name="Note 3" xfId="69"/>
    <cellStyle name="Output" xfId="35" builtinId="21" customBuiltin="1"/>
    <cellStyle name="Output 2" xfId="111"/>
    <cellStyle name="Percent" xfId="12" builtinId="5"/>
    <cellStyle name="Percent 2" xfId="20"/>
    <cellStyle name="Percent 2 2" xfId="158"/>
    <cellStyle name="Percent 2 3" xfId="149"/>
    <cellStyle name="Percent 3" xfId="30"/>
    <cellStyle name="Percent 3 2" xfId="167"/>
    <cellStyle name="Percent 3 3" xfId="150"/>
    <cellStyle name="Percent 4" xfId="148"/>
    <cellStyle name="Percent 5" xfId="155"/>
    <cellStyle name="Remark" xfId="13"/>
    <cellStyle name="Standard_Tabelle1" xfId="112"/>
    <cellStyle name="Title" xfId="31" builtinId="15" customBuiltin="1"/>
    <cellStyle name="Title 2" xfId="113"/>
    <cellStyle name="Total" xfId="41" builtinId="25" customBuiltin="1"/>
    <cellStyle name="Total2" xfId="14"/>
    <cellStyle name="Warning Text" xfId="39" builtinId="11" customBuiltin="1"/>
    <cellStyle name="Warning Text 2" xfId="114"/>
    <cellStyle name="悪い 2" xfId="15"/>
    <cellStyle name="悪い 3" xfId="16"/>
    <cellStyle name="標準 2" xfId="17"/>
  </cellStyles>
  <dxfs count="135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D8E4BC"/>
      <color rgb="FFFFEC7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Q289"/>
  <sheetViews>
    <sheetView showGridLines="0" tabSelected="1" zoomScale="85" zoomScaleNormal="85" zoomScaleSheetLayoutView="55" workbookViewId="0">
      <selection activeCell="G9" sqref="G9"/>
    </sheetView>
  </sheetViews>
  <sheetFormatPr defaultColWidth="11.44140625" defaultRowHeight="15" customHeight="1"/>
  <cols>
    <col min="1" max="1" width="5.6640625" style="22" customWidth="1"/>
    <col min="2" max="2" width="5.6640625" style="19" customWidth="1"/>
    <col min="3" max="3" width="50.6640625" style="20" customWidth="1"/>
    <col min="4" max="4" width="10.6640625" style="20" customWidth="1"/>
    <col min="5" max="5" width="25.6640625" style="20" customWidth="1"/>
    <col min="6" max="6" width="5.6640625" style="20" customWidth="1"/>
    <col min="7" max="7" width="24.6640625" style="20" customWidth="1"/>
    <col min="8" max="8" width="10.5546875" style="89" customWidth="1"/>
    <col min="9" max="9" width="17" style="20" customWidth="1"/>
    <col min="10" max="10" width="4.6640625" style="22" customWidth="1"/>
    <col min="11" max="11" width="15.33203125" style="21" customWidth="1"/>
    <col min="12" max="12" width="45.6640625" style="20" customWidth="1"/>
    <col min="13" max="13" width="4.6640625" style="22" customWidth="1"/>
    <col min="14" max="14" width="25.6640625" style="20" customWidth="1"/>
    <col min="15" max="15" width="5.6640625" style="21" customWidth="1"/>
    <col min="16" max="16384" width="11.44140625" style="22"/>
  </cols>
  <sheetData>
    <row r="1" spans="1:17" ht="15" customHeight="1">
      <c r="A1" s="28"/>
      <c r="B1" s="236"/>
      <c r="C1" s="17"/>
      <c r="D1" s="17"/>
      <c r="E1" s="17"/>
      <c r="F1" s="17"/>
      <c r="G1" s="17"/>
      <c r="H1" s="167"/>
      <c r="I1" s="17"/>
      <c r="J1" s="28"/>
      <c r="K1" s="16"/>
      <c r="L1" s="17"/>
      <c r="M1" s="28"/>
      <c r="N1" s="17"/>
      <c r="O1" s="16"/>
      <c r="P1" s="28"/>
    </row>
    <row r="2" spans="1:17" ht="37.5" customHeight="1">
      <c r="A2" s="28"/>
      <c r="B2" s="17"/>
      <c r="C2" s="277" t="s">
        <v>405</v>
      </c>
      <c r="D2" s="277"/>
      <c r="E2" s="277"/>
      <c r="F2" s="17"/>
      <c r="G2" s="198" t="str">
        <f>CONCATENATE("v", Parameters!E4,".",Parameters!F4,".",Parameters!G4)</f>
        <v>v4.2.1</v>
      </c>
      <c r="H2" s="167"/>
      <c r="I2" s="199"/>
      <c r="J2" s="28"/>
      <c r="K2" s="16"/>
      <c r="L2" s="199"/>
      <c r="M2" s="28"/>
      <c r="N2" s="199"/>
      <c r="O2" s="16"/>
      <c r="P2" s="16"/>
    </row>
    <row r="3" spans="1:17" ht="20.100000000000001" customHeight="1">
      <c r="A3" s="28"/>
      <c r="B3" s="69" t="s">
        <v>58</v>
      </c>
      <c r="C3" s="70"/>
      <c r="D3" s="70"/>
      <c r="E3" s="70"/>
      <c r="F3" s="70"/>
      <c r="G3" s="70"/>
      <c r="H3" s="87"/>
      <c r="I3" s="70"/>
      <c r="J3" s="70"/>
      <c r="K3" s="70"/>
      <c r="L3" s="70"/>
      <c r="M3" s="70"/>
      <c r="N3" s="70"/>
      <c r="O3" s="71"/>
      <c r="P3" s="16"/>
      <c r="Q3" s="28"/>
    </row>
    <row r="4" spans="1:17" ht="20.100000000000001" customHeight="1">
      <c r="A4" s="28"/>
      <c r="B4" s="90"/>
      <c r="C4" s="39"/>
      <c r="D4" s="39"/>
      <c r="E4" s="16"/>
      <c r="F4" s="16"/>
      <c r="G4" s="16"/>
      <c r="H4" s="37"/>
      <c r="I4" s="16"/>
      <c r="J4" s="16"/>
      <c r="K4" s="16"/>
      <c r="L4" s="16"/>
      <c r="M4" s="16"/>
      <c r="N4" s="16"/>
      <c r="O4" s="91"/>
      <c r="P4" s="16"/>
      <c r="Q4" s="28"/>
    </row>
    <row r="5" spans="1:17" ht="15" customHeight="1">
      <c r="A5" s="28"/>
      <c r="B5" s="90"/>
      <c r="C5" s="61" t="s">
        <v>332</v>
      </c>
      <c r="D5" s="62"/>
      <c r="E5" s="63"/>
      <c r="F5" s="60" t="s">
        <v>219</v>
      </c>
      <c r="G5" s="44" t="s">
        <v>151</v>
      </c>
      <c r="H5" s="38"/>
      <c r="I5" s="44" t="s">
        <v>50</v>
      </c>
      <c r="J5" s="16"/>
      <c r="K5" s="16"/>
      <c r="L5" s="16"/>
      <c r="M5" s="16"/>
      <c r="N5" s="16"/>
      <c r="O5" s="91"/>
      <c r="P5" s="16"/>
      <c r="Q5" s="28"/>
    </row>
    <row r="6" spans="1:17" ht="15" customHeight="1">
      <c r="A6" s="28"/>
      <c r="B6" s="90"/>
      <c r="C6" s="107" t="s">
        <v>254</v>
      </c>
      <c r="D6" s="108"/>
      <c r="E6" s="109"/>
      <c r="F6" s="49"/>
      <c r="G6" s="48"/>
      <c r="H6" s="38"/>
      <c r="I6" s="56"/>
      <c r="J6" s="16"/>
      <c r="K6" s="16"/>
      <c r="L6" s="16"/>
      <c r="M6" s="16"/>
      <c r="N6" s="16"/>
      <c r="O6" s="91"/>
      <c r="P6" s="16"/>
      <c r="Q6" s="28"/>
    </row>
    <row r="7" spans="1:17" ht="15" customHeight="1">
      <c r="A7" s="28"/>
      <c r="B7" s="90"/>
      <c r="C7" s="110" t="s">
        <v>83</v>
      </c>
      <c r="D7" s="111"/>
      <c r="E7" s="109"/>
      <c r="F7" s="230">
        <v>1001</v>
      </c>
      <c r="G7" s="73" t="s">
        <v>36</v>
      </c>
      <c r="H7" s="38" t="s">
        <v>81</v>
      </c>
      <c r="I7" s="57" t="str">
        <f>IF(OR(G7="&lt;select&gt;",ISBLANK(G7)),"Please select a code"," ")</f>
        <v xml:space="preserve"> </v>
      </c>
      <c r="J7" s="16"/>
      <c r="K7" s="16"/>
      <c r="L7" s="16"/>
      <c r="M7" s="16"/>
      <c r="N7" s="16"/>
      <c r="O7" s="91"/>
      <c r="P7" s="16"/>
      <c r="Q7" s="28"/>
    </row>
    <row r="8" spans="1:17" ht="15" customHeight="1">
      <c r="A8" s="28"/>
      <c r="B8" s="90"/>
      <c r="C8" s="110" t="s">
        <v>217</v>
      </c>
      <c r="D8" s="111"/>
      <c r="E8" s="109"/>
      <c r="F8" s="230">
        <v>1002</v>
      </c>
      <c r="G8" s="74" t="s">
        <v>638</v>
      </c>
      <c r="H8" s="38" t="s">
        <v>82</v>
      </c>
      <c r="I8" s="57" t="str">
        <f>IF(ISNUMBER(G8),"No numbers please",IF(ISTEXT(G8)," ","Please enter a name"))</f>
        <v xml:space="preserve"> </v>
      </c>
      <c r="J8" s="16"/>
      <c r="K8" s="16"/>
      <c r="L8" s="16"/>
      <c r="M8" s="16"/>
      <c r="N8" s="44" t="s">
        <v>223</v>
      </c>
      <c r="O8" s="91"/>
      <c r="P8" s="16"/>
      <c r="Q8" s="16"/>
    </row>
    <row r="9" spans="1:17" ht="15" customHeight="1">
      <c r="A9" s="28"/>
      <c r="B9" s="90"/>
      <c r="C9" s="110" t="s">
        <v>388</v>
      </c>
      <c r="D9" s="111"/>
      <c r="E9" s="109"/>
      <c r="F9" s="230">
        <v>1003</v>
      </c>
      <c r="G9" s="243">
        <v>42369</v>
      </c>
      <c r="H9" s="38" t="s">
        <v>84</v>
      </c>
      <c r="I9" s="57" t="str">
        <f>IF(OR(G9="&lt;select&gt;",ISBLANK(G9)),"Please select a date"," ")</f>
        <v xml:space="preserve"> </v>
      </c>
      <c r="J9" s="16"/>
      <c r="K9" s="16"/>
      <c r="L9" s="16"/>
      <c r="M9" s="16"/>
      <c r="N9" s="242"/>
      <c r="O9" s="91"/>
      <c r="P9" s="16"/>
      <c r="Q9" s="16"/>
    </row>
    <row r="10" spans="1:17" ht="15" customHeight="1">
      <c r="A10" s="28"/>
      <c r="B10" s="90"/>
      <c r="C10" s="110" t="s">
        <v>389</v>
      </c>
      <c r="D10" s="111"/>
      <c r="E10" s="109"/>
      <c r="F10" s="230">
        <v>1004</v>
      </c>
      <c r="G10" s="244" t="s">
        <v>11</v>
      </c>
      <c r="H10" s="38" t="s">
        <v>385</v>
      </c>
      <c r="I10" s="57" t="str">
        <f>IF(OR(G10="&lt;select&gt;",ISBLANK(G10)),"Please select a value"," ")</f>
        <v xml:space="preserve"> </v>
      </c>
      <c r="J10" s="16"/>
      <c r="K10" s="16"/>
      <c r="L10" s="16"/>
      <c r="M10" s="16"/>
      <c r="N10" s="242"/>
      <c r="O10" s="91"/>
      <c r="P10" s="16"/>
      <c r="Q10" s="28"/>
    </row>
    <row r="11" spans="1:17" ht="15" customHeight="1">
      <c r="A11" s="28"/>
      <c r="B11" s="90"/>
      <c r="C11" s="112" t="s">
        <v>390</v>
      </c>
      <c r="D11" s="113"/>
      <c r="E11" s="115"/>
      <c r="F11" s="230">
        <v>1005</v>
      </c>
      <c r="G11" s="50">
        <f>IF(OR(G10="&lt;select&gt;",ISBLANK(G10)),"",VLOOKUP(G10,Parameters!$E$49:$F$67,2,FALSE))</f>
        <v>1</v>
      </c>
      <c r="H11" s="38" t="s">
        <v>386</v>
      </c>
      <c r="I11" s="58"/>
      <c r="J11" s="16"/>
      <c r="K11" s="16"/>
      <c r="L11" s="16"/>
      <c r="M11" s="16"/>
      <c r="N11" s="16"/>
      <c r="O11" s="91"/>
      <c r="P11" s="16"/>
      <c r="Q11" s="16"/>
    </row>
    <row r="12" spans="1:17" ht="15" customHeight="1">
      <c r="A12" s="28"/>
      <c r="B12" s="90"/>
      <c r="C12" s="112" t="s">
        <v>391</v>
      </c>
      <c r="D12" s="113"/>
      <c r="E12" s="114"/>
      <c r="F12" s="230">
        <v>1006</v>
      </c>
      <c r="G12" s="75">
        <v>42543</v>
      </c>
      <c r="H12" s="38" t="s">
        <v>387</v>
      </c>
      <c r="I12" s="57" t="str">
        <f>IF(ISTEXT(G12),"No text please",IF(ISNUMBER(G12)," ", "Please enter a date"))</f>
        <v xml:space="preserve"> </v>
      </c>
      <c r="J12" s="16"/>
      <c r="K12" s="16"/>
      <c r="L12" s="16"/>
      <c r="M12" s="16"/>
      <c r="N12" s="16"/>
      <c r="O12" s="91"/>
      <c r="P12" s="16"/>
      <c r="Q12" s="16"/>
    </row>
    <row r="13" spans="1:17" ht="15" customHeight="1">
      <c r="A13" s="28"/>
      <c r="B13" s="90"/>
      <c r="C13" s="107" t="s">
        <v>177</v>
      </c>
      <c r="D13" s="108"/>
      <c r="E13" s="109"/>
      <c r="F13" s="49"/>
      <c r="G13" s="48"/>
      <c r="H13" s="38"/>
      <c r="I13" s="58"/>
      <c r="J13" s="16"/>
      <c r="K13" s="16"/>
      <c r="L13" s="16"/>
      <c r="M13" s="16"/>
      <c r="N13" s="16"/>
      <c r="O13" s="91"/>
      <c r="P13" s="16"/>
      <c r="Q13" s="28"/>
    </row>
    <row r="14" spans="1:17" ht="15" customHeight="1">
      <c r="A14" s="28"/>
      <c r="B14" s="90"/>
      <c r="C14" s="110" t="s">
        <v>380</v>
      </c>
      <c r="D14" s="111"/>
      <c r="E14" s="109"/>
      <c r="F14" s="230">
        <v>1007</v>
      </c>
      <c r="G14" s="51">
        <v>1000</v>
      </c>
      <c r="H14" s="38" t="s">
        <v>85</v>
      </c>
      <c r="I14" s="57" t="str">
        <f>IF(OR(G14="&lt;select&gt;",ISBLANK(G14)),"Please select a value"," ")</f>
        <v xml:space="preserve"> </v>
      </c>
      <c r="J14" s="16"/>
      <c r="K14" s="16"/>
      <c r="L14" s="16"/>
      <c r="M14" s="16"/>
      <c r="N14" s="16"/>
      <c r="O14" s="91"/>
      <c r="P14" s="16"/>
      <c r="Q14" s="28"/>
    </row>
    <row r="15" spans="1:17" ht="15" customHeight="1">
      <c r="A15" s="28"/>
      <c r="B15" s="90"/>
      <c r="C15" s="112" t="s">
        <v>381</v>
      </c>
      <c r="D15" s="113"/>
      <c r="E15" s="114"/>
      <c r="F15" s="230">
        <v>1008</v>
      </c>
      <c r="G15" s="52" t="s">
        <v>44</v>
      </c>
      <c r="H15" s="38" t="s">
        <v>86</v>
      </c>
      <c r="I15" s="57" t="str">
        <f>IF(OR(G15="&lt;select&gt;",ISBLANK(G15)),"Please select a value"," ")</f>
        <v xml:space="preserve"> </v>
      </c>
      <c r="J15" s="16"/>
      <c r="K15" s="16"/>
      <c r="L15" s="44" t="s">
        <v>221</v>
      </c>
      <c r="M15" s="16"/>
      <c r="N15" s="44" t="s">
        <v>223</v>
      </c>
      <c r="O15" s="91"/>
      <c r="P15" s="16"/>
      <c r="Q15" s="28"/>
    </row>
    <row r="16" spans="1:17" ht="15" customHeight="1">
      <c r="A16" s="28"/>
      <c r="B16" s="90"/>
      <c r="C16" s="112" t="s">
        <v>382</v>
      </c>
      <c r="D16" s="113"/>
      <c r="E16" s="114"/>
      <c r="F16" s="230">
        <v>1009</v>
      </c>
      <c r="G16" s="166">
        <v>42576</v>
      </c>
      <c r="H16" s="38" t="s">
        <v>87</v>
      </c>
      <c r="I16" s="57" t="str">
        <f>IF(ISTEXT(G16),"No text please",IF(ISNUMBER(G16)," ", "Please enter a date"))</f>
        <v xml:space="preserve"> </v>
      </c>
      <c r="J16" s="16"/>
      <c r="K16" s="16"/>
      <c r="L16" s="241"/>
      <c r="M16" s="16"/>
      <c r="N16" s="242"/>
      <c r="O16" s="91"/>
      <c r="P16" s="16"/>
      <c r="Q16" s="28"/>
    </row>
    <row r="17" spans="1:17" ht="15" customHeight="1">
      <c r="A17" s="28"/>
      <c r="B17" s="90"/>
      <c r="C17" s="112" t="s">
        <v>383</v>
      </c>
      <c r="D17" s="113"/>
      <c r="E17" s="114"/>
      <c r="F17" s="230">
        <v>1010</v>
      </c>
      <c r="G17" s="52" t="s">
        <v>639</v>
      </c>
      <c r="H17" s="38" t="s">
        <v>88</v>
      </c>
      <c r="I17" s="57" t="str">
        <f>IF(ISNUMBER(G17),"No numbers please",IF(ISTEXT(G17)," ","Please enter a value"))</f>
        <v xml:space="preserve"> </v>
      </c>
      <c r="J17" s="16"/>
      <c r="K17" s="16"/>
      <c r="L17" s="241"/>
      <c r="M17" s="16"/>
      <c r="N17" s="242"/>
      <c r="O17" s="91"/>
      <c r="P17" s="16"/>
      <c r="Q17" s="28"/>
    </row>
    <row r="18" spans="1:17" ht="15" customHeight="1">
      <c r="A18" s="28"/>
      <c r="B18" s="90"/>
      <c r="C18" s="112" t="s">
        <v>384</v>
      </c>
      <c r="D18" s="113"/>
      <c r="E18" s="114"/>
      <c r="F18" s="230">
        <v>1011</v>
      </c>
      <c r="G18" s="235" t="s">
        <v>642</v>
      </c>
      <c r="H18" s="38" t="s">
        <v>89</v>
      </c>
      <c r="I18" s="57" t="str">
        <f>IF(ISNUMBER(G18),"No numbers please",IF(ISTEXT(G18)," ","Please enter a value"))</f>
        <v xml:space="preserve"> </v>
      </c>
      <c r="J18" s="16"/>
      <c r="K18" s="16"/>
      <c r="L18" s="241"/>
      <c r="M18" s="16"/>
      <c r="N18" s="242"/>
      <c r="O18" s="91"/>
      <c r="P18" s="16"/>
      <c r="Q18" s="28"/>
    </row>
    <row r="19" spans="1:17" ht="20.100000000000001" customHeight="1">
      <c r="A19" s="28"/>
      <c r="B19" s="200"/>
      <c r="C19" s="201"/>
      <c r="D19" s="201"/>
      <c r="E19" s="123"/>
      <c r="F19" s="202"/>
      <c r="G19" s="123"/>
      <c r="H19" s="203"/>
      <c r="I19" s="123"/>
      <c r="J19" s="123"/>
      <c r="K19" s="123"/>
      <c r="L19" s="123"/>
      <c r="M19" s="123"/>
      <c r="N19" s="123"/>
      <c r="O19" s="204"/>
      <c r="P19" s="16"/>
      <c r="Q19" s="28"/>
    </row>
    <row r="20" spans="1:17" ht="20.100000000000001" customHeight="1">
      <c r="A20" s="28"/>
      <c r="B20" s="69" t="s">
        <v>63</v>
      </c>
      <c r="C20" s="70"/>
      <c r="D20" s="70"/>
      <c r="E20" s="70"/>
      <c r="F20" s="70"/>
      <c r="G20" s="70"/>
      <c r="H20" s="87"/>
      <c r="I20" s="70"/>
      <c r="J20" s="70"/>
      <c r="K20" s="70"/>
      <c r="L20" s="70"/>
      <c r="M20" s="70"/>
      <c r="N20" s="70"/>
      <c r="O20" s="71"/>
      <c r="P20" s="16"/>
      <c r="Q20" s="28"/>
    </row>
    <row r="21" spans="1:17" ht="20.100000000000001" customHeight="1">
      <c r="A21" s="28"/>
      <c r="B21" s="205"/>
      <c r="C21" s="206"/>
      <c r="D21" s="206"/>
      <c r="E21" s="207"/>
      <c r="F21" s="208"/>
      <c r="G21" s="207"/>
      <c r="H21" s="209"/>
      <c r="I21" s="207"/>
      <c r="J21" s="207"/>
      <c r="K21" s="207"/>
      <c r="L21" s="207"/>
      <c r="M21" s="207"/>
      <c r="N21" s="207"/>
      <c r="O21" s="210"/>
      <c r="P21" s="16"/>
      <c r="Q21" s="28"/>
    </row>
    <row r="22" spans="1:17" ht="15" customHeight="1">
      <c r="A22" s="28"/>
      <c r="B22" s="90"/>
      <c r="C22" s="61" t="s">
        <v>333</v>
      </c>
      <c r="D22" s="62"/>
      <c r="E22" s="63"/>
      <c r="F22" s="60" t="s">
        <v>219</v>
      </c>
      <c r="G22" s="40" t="str">
        <f>IF(OR($G$10="&lt;select&gt;",ISBLANK($G$10)),"Amount","Amount in "&amp;VLOOKUP($G$14,Parameters!$E$69:$F$72,2,FALSE)&amp;$G$10)</f>
        <v>Amount in thousand EUR</v>
      </c>
      <c r="H22" s="38"/>
      <c r="I22" s="44" t="s">
        <v>50</v>
      </c>
      <c r="J22" s="16"/>
      <c r="K22" s="44" t="s">
        <v>194</v>
      </c>
      <c r="L22" s="44" t="str">
        <f>L15</f>
        <v>Comments</v>
      </c>
      <c r="M22" s="16"/>
      <c r="N22" s="44" t="str">
        <f>N15</f>
        <v>Supervisor Comments</v>
      </c>
      <c r="O22" s="91"/>
      <c r="P22" s="16"/>
      <c r="Q22" s="28"/>
    </row>
    <row r="23" spans="1:17" ht="15" customHeight="1">
      <c r="A23" s="238"/>
      <c r="B23" s="94"/>
      <c r="C23" s="64" t="s">
        <v>436</v>
      </c>
      <c r="D23" s="65"/>
      <c r="E23" s="66"/>
      <c r="F23" s="49"/>
      <c r="G23" s="48"/>
      <c r="H23" s="38"/>
      <c r="I23" s="48"/>
      <c r="J23" s="16"/>
      <c r="K23" s="48"/>
      <c r="L23" s="48"/>
      <c r="M23" s="16"/>
      <c r="N23" s="48"/>
      <c r="O23" s="91"/>
      <c r="P23" s="16"/>
      <c r="Q23" s="28"/>
    </row>
    <row r="24" spans="1:17" ht="15" customHeight="1">
      <c r="A24" s="238"/>
      <c r="B24" s="92"/>
      <c r="C24" s="231" t="s">
        <v>439</v>
      </c>
      <c r="D24" s="65"/>
      <c r="E24" s="66"/>
      <c r="F24" s="59">
        <v>1012</v>
      </c>
      <c r="G24" s="274">
        <v>3366799</v>
      </c>
      <c r="H24" s="38" t="s">
        <v>450</v>
      </c>
      <c r="I24" s="57" t="str">
        <f>IF(ISTEXT(G24),"No text please",IF(G24&lt;0,"No negatives please",IF(ISBLANK(G24),"Please enter a value",IF(AND(G24=0,ISERROR(FIND("zero",K24))),"Please confirm zero",IF(AND(G24&lt;&gt;0,K24="Confirmed zero"),"Value not zero"," ")))))</f>
        <v xml:space="preserve"> </v>
      </c>
      <c r="J24" s="16"/>
      <c r="K24" s="47"/>
      <c r="L24" s="241"/>
      <c r="M24" s="16"/>
      <c r="N24" s="242"/>
      <c r="O24" s="91"/>
      <c r="P24" s="16"/>
      <c r="Q24" s="28"/>
    </row>
    <row r="25" spans="1:17" ht="15" customHeight="1">
      <c r="A25" s="238"/>
      <c r="B25" s="92"/>
      <c r="C25" s="231" t="s">
        <v>440</v>
      </c>
      <c r="D25" s="65"/>
      <c r="E25" s="66"/>
      <c r="F25" s="54">
        <v>1201</v>
      </c>
      <c r="G25" s="271">
        <v>0</v>
      </c>
      <c r="H25" s="38" t="s">
        <v>449</v>
      </c>
      <c r="I25" s="57" t="str">
        <f>IF(ISTEXT(G25),"No text please",IF(G25&lt;0,"No negatives please",IF(ISBLANK(G25),"Please enter a value",IF(AND(G25=0,ISERROR(FIND("zero",K25))),"Please confirm zero",IF(AND(G25&lt;&gt;0,K25="Confirmed zero"),"Value not zero"," ")))))</f>
        <v xml:space="preserve"> </v>
      </c>
      <c r="J25" s="16"/>
      <c r="K25" s="47" t="s">
        <v>178</v>
      </c>
      <c r="L25" s="241"/>
      <c r="M25" s="16"/>
      <c r="N25" s="242"/>
      <c r="O25" s="91"/>
      <c r="P25" s="28"/>
      <c r="Q25" s="28"/>
    </row>
    <row r="26" spans="1:17" ht="15" customHeight="1">
      <c r="A26" s="238"/>
      <c r="B26" s="92"/>
      <c r="C26" s="231" t="s">
        <v>441</v>
      </c>
      <c r="D26" s="65"/>
      <c r="E26" s="66"/>
      <c r="F26" s="59">
        <v>1018</v>
      </c>
      <c r="G26" s="274">
        <v>47312570</v>
      </c>
      <c r="H26" s="38" t="s">
        <v>451</v>
      </c>
      <c r="I26" s="57" t="str">
        <f>IF(ISTEXT(G26),"No text please",IF(G26&lt;0,"No negatives please",IF(ISBLANK(G26),"Please enter a value",IF(AND(G26=0,ISERROR(FIND("zero",K26))),"Please confirm zero",IF(AND(G26&lt;&gt;0,K26="Confirmed zero"),"Value not zero"," ")))))</f>
        <v xml:space="preserve"> </v>
      </c>
      <c r="J26" s="16"/>
      <c r="K26" s="47"/>
      <c r="L26" s="241"/>
      <c r="M26" s="16"/>
      <c r="N26" s="242"/>
      <c r="O26" s="91"/>
      <c r="P26" s="16"/>
      <c r="Q26" s="28"/>
    </row>
    <row r="27" spans="1:17" ht="15" customHeight="1">
      <c r="A27" s="238"/>
      <c r="B27" s="94"/>
      <c r="C27" s="64" t="s">
        <v>437</v>
      </c>
      <c r="D27" s="65"/>
      <c r="E27" s="66"/>
      <c r="F27" s="49"/>
      <c r="G27" s="48"/>
      <c r="H27" s="38"/>
      <c r="I27" s="48"/>
      <c r="J27" s="16"/>
      <c r="K27" s="48"/>
      <c r="L27" s="48"/>
      <c r="M27" s="16"/>
      <c r="N27" s="48"/>
      <c r="O27" s="91"/>
      <c r="P27" s="16"/>
      <c r="Q27" s="28"/>
    </row>
    <row r="28" spans="1:17" ht="15" customHeight="1">
      <c r="A28" s="238"/>
      <c r="B28" s="92"/>
      <c r="C28" s="231" t="s">
        <v>447</v>
      </c>
      <c r="D28" s="65"/>
      <c r="E28" s="66"/>
      <c r="F28" s="230">
        <v>1013</v>
      </c>
      <c r="G28" s="271">
        <v>20045584.237</v>
      </c>
      <c r="H28" s="38" t="s">
        <v>452</v>
      </c>
      <c r="I28" s="57" t="str">
        <f>IF(ISTEXT(G28),"No text please",IF(G28&lt;0,"No negatives please",IF(ISBLANK(G28),"Please enter a value",IF(AND(G28=0,ISERROR(FIND("zero",K28))),"Please confirm zero",IF(AND(G28&lt;&gt;0,K28="Confirmed zero"),"Value not zero"," ")))))</f>
        <v xml:space="preserve"> </v>
      </c>
      <c r="J28" s="16"/>
      <c r="K28" s="47"/>
      <c r="L28" s="241"/>
      <c r="M28" s="16"/>
      <c r="N28" s="242"/>
      <c r="O28" s="91"/>
      <c r="P28" s="16"/>
      <c r="Q28" s="28"/>
    </row>
    <row r="29" spans="1:17" ht="15" customHeight="1">
      <c r="A29" s="238"/>
      <c r="B29" s="92"/>
      <c r="C29" s="231" t="s">
        <v>448</v>
      </c>
      <c r="D29" s="65"/>
      <c r="E29" s="67"/>
      <c r="F29" s="230">
        <v>1014</v>
      </c>
      <c r="G29" s="272">
        <v>1316705.7379999999</v>
      </c>
      <c r="H29" s="38" t="s">
        <v>453</v>
      </c>
      <c r="I29" s="57" t="str">
        <f>IF(ISTEXT(G29),"No text please",IF(G29&lt;0,"No negatives please",IF(ISBLANK(G29),"Please enter a value",IF(AND(G29=0,ISERROR(FIND("zero",K29))),"Please confirm zero",IF(AND(G29&lt;&gt;0,K29="Confirmed zero"),"Value not zero"," ")))))</f>
        <v xml:space="preserve"> </v>
      </c>
      <c r="J29" s="16"/>
      <c r="K29" s="47"/>
      <c r="L29" s="241"/>
      <c r="M29" s="16"/>
      <c r="N29" s="242"/>
      <c r="O29" s="91"/>
      <c r="P29" s="16"/>
      <c r="Q29" s="28"/>
    </row>
    <row r="30" spans="1:17" ht="15" customHeight="1">
      <c r="A30" s="238"/>
      <c r="B30" s="92"/>
      <c r="C30" s="64" t="s">
        <v>438</v>
      </c>
      <c r="D30" s="65"/>
      <c r="E30" s="67"/>
      <c r="F30" s="59">
        <v>1015</v>
      </c>
      <c r="G30" s="272">
        <v>362952665.57200003</v>
      </c>
      <c r="H30" s="38" t="s">
        <v>69</v>
      </c>
      <c r="I30" s="57" t="str">
        <f>IF(ISTEXT(G30),"No text please",IF(G30&lt;0,"No negatives please",IF(ISBLANK(G30),"Please enter a value",IF(AND(G30=0,ISERROR(FIND("zero",K30))),"Please confirm zero",IF(AND(G30&lt;&gt;0,K30="Confirmed zero"),"Value not zero"," ")))))</f>
        <v xml:space="preserve"> </v>
      </c>
      <c r="J30" s="16"/>
      <c r="K30" s="47"/>
      <c r="L30" s="241"/>
      <c r="M30" s="16"/>
      <c r="N30" s="242"/>
      <c r="O30" s="91"/>
      <c r="P30" s="16"/>
      <c r="Q30" s="28"/>
    </row>
    <row r="31" spans="1:17" ht="15" customHeight="1">
      <c r="A31" s="238"/>
      <c r="B31" s="94"/>
      <c r="C31" s="64" t="s">
        <v>442</v>
      </c>
      <c r="D31" s="65"/>
      <c r="E31" s="66"/>
      <c r="F31" s="49"/>
      <c r="G31" s="48"/>
      <c r="H31" s="38"/>
      <c r="I31" s="48"/>
      <c r="J31" s="16"/>
      <c r="K31" s="48"/>
      <c r="L31" s="48"/>
      <c r="M31" s="16"/>
      <c r="N31" s="48"/>
      <c r="O31" s="91"/>
      <c r="P31" s="16"/>
      <c r="Q31" s="28"/>
    </row>
    <row r="32" spans="1:17" ht="15" customHeight="1">
      <c r="A32" s="238"/>
      <c r="B32" s="92"/>
      <c r="C32" s="231" t="s">
        <v>443</v>
      </c>
      <c r="D32" s="65"/>
      <c r="E32" s="66"/>
      <c r="F32" s="230">
        <v>1019</v>
      </c>
      <c r="G32" s="271">
        <v>82867002.369000003</v>
      </c>
      <c r="H32" s="36" t="s">
        <v>110</v>
      </c>
      <c r="I32" s="57" t="str">
        <f>IF(ISTEXT(G32),"No text please",IF(G32&lt;0,"No negatives please",IF(ISBLANK(G32),"Please enter a value",IF(AND(G32=0,ISERROR(FIND("zero",K32))),"Please confirm zero",IF(AND(G32&lt;&gt;0,K32="Confirmed zero"),"Value not zero"," ")))))</f>
        <v xml:space="preserve"> </v>
      </c>
      <c r="J32" s="16"/>
      <c r="K32" s="47"/>
      <c r="L32" s="241"/>
      <c r="M32" s="16"/>
      <c r="N32" s="242"/>
      <c r="O32" s="91"/>
      <c r="P32" s="16"/>
      <c r="Q32" s="28"/>
    </row>
    <row r="33" spans="1:17" ht="15" customHeight="1">
      <c r="A33" s="238"/>
      <c r="B33" s="92"/>
      <c r="C33" s="231" t="s">
        <v>444</v>
      </c>
      <c r="D33" s="65"/>
      <c r="E33" s="67"/>
      <c r="F33" s="230">
        <v>1022</v>
      </c>
      <c r="G33" s="272">
        <v>4262023.1349999998</v>
      </c>
      <c r="H33" s="36" t="s">
        <v>454</v>
      </c>
      <c r="I33" s="57" t="str">
        <f>IF(ISTEXT(G33),"No text please",IF(G33&lt;0,"No negatives please",IF(ISBLANK(G33),"Please enter a value",IF(AND(G33=0,ISERROR(FIND("zero",K33))),"Please confirm zero",IF(AND(G33&lt;&gt;0,K33="Confirmed zero"),"Value not zero"," ")))))</f>
        <v xml:space="preserve"> </v>
      </c>
      <c r="J33" s="16"/>
      <c r="K33" s="47"/>
      <c r="L33" s="241"/>
      <c r="M33" s="16"/>
      <c r="N33" s="242"/>
      <c r="O33" s="91"/>
      <c r="P33" s="16"/>
      <c r="Q33" s="28"/>
    </row>
    <row r="34" spans="1:17" ht="15" customHeight="1">
      <c r="A34" s="238"/>
      <c r="B34" s="92"/>
      <c r="C34" s="231" t="s">
        <v>445</v>
      </c>
      <c r="D34" s="65"/>
      <c r="E34" s="67"/>
      <c r="F34" s="230">
        <v>1023</v>
      </c>
      <c r="G34" s="271">
        <v>22045963.577</v>
      </c>
      <c r="H34" s="36" t="s">
        <v>455</v>
      </c>
      <c r="I34" s="57" t="str">
        <f>IF(ISTEXT(G34),"No text please",IF(G34&lt;0,"No negatives please",IF(ISBLANK(G34),"Please enter a value",IF(AND(G34=0,ISERROR(FIND("zero",K34))),"Please confirm zero",IF(AND(G34&lt;&gt;0,K34="Confirmed zero"),"Value not zero"," ")))))</f>
        <v xml:space="preserve"> </v>
      </c>
      <c r="J34" s="16"/>
      <c r="K34" s="47"/>
      <c r="L34" s="241"/>
      <c r="M34" s="16"/>
      <c r="N34" s="242"/>
      <c r="O34" s="91"/>
      <c r="P34" s="16"/>
      <c r="Q34" s="28"/>
    </row>
    <row r="35" spans="1:17" ht="15" customHeight="1">
      <c r="A35" s="238"/>
      <c r="B35" s="92"/>
      <c r="C35" s="231" t="s">
        <v>446</v>
      </c>
      <c r="D35" s="65"/>
      <c r="E35" s="67"/>
      <c r="F35" s="59">
        <v>1024</v>
      </c>
      <c r="G35" s="271">
        <v>9021006.8469999991</v>
      </c>
      <c r="H35" s="36" t="s">
        <v>456</v>
      </c>
      <c r="I35" s="57" t="str">
        <f>IF(ISTEXT(G35),"No text please",IF(G35&lt;0,"No negatives please",IF(ISBLANK(G35),"Please enter a value",IF(AND(G35=0,ISERROR(FIND("zero",K35))),"Please confirm zero",IF(AND(G35&lt;&gt;0,K35="Confirmed zero"),"Value not zero"," ")))))</f>
        <v xml:space="preserve"> </v>
      </c>
      <c r="J35" s="16"/>
      <c r="K35" s="47"/>
      <c r="L35" s="241"/>
      <c r="M35" s="16"/>
      <c r="N35" s="242"/>
      <c r="O35" s="91"/>
      <c r="P35" s="16"/>
      <c r="Q35" s="28"/>
    </row>
    <row r="36" spans="1:17" ht="15" customHeight="1">
      <c r="A36" s="238"/>
      <c r="B36" s="93"/>
      <c r="C36" s="64" t="s">
        <v>457</v>
      </c>
      <c r="D36" s="65"/>
      <c r="E36" s="66"/>
      <c r="F36" s="230">
        <v>1031</v>
      </c>
      <c r="G36" s="272">
        <v>479283.93300000002</v>
      </c>
      <c r="H36" s="36" t="s">
        <v>70</v>
      </c>
      <c r="I36" s="57" t="str">
        <f>IF(ISTEXT(G36),"No text please",IF(ISBLANK(G36),"Please enter a value",IF(AND(G36=0,ISERROR(FIND("zero",K36))),"Please confirm zero",IF(AND(G36&lt;&gt;0,K36="Confirmed zero"),"Value not zero"," "))))</f>
        <v xml:space="preserve"> </v>
      </c>
      <c r="J36" s="16"/>
      <c r="K36" s="47"/>
      <c r="L36" s="241"/>
      <c r="M36" s="16"/>
      <c r="N36" s="242"/>
      <c r="O36" s="91"/>
      <c r="P36" s="16"/>
      <c r="Q36" s="28"/>
    </row>
    <row r="37" spans="1:17" s="25" customFormat="1" ht="15" customHeight="1">
      <c r="A37" s="238"/>
      <c r="B37" s="94"/>
      <c r="C37" s="281" t="s">
        <v>458</v>
      </c>
      <c r="D37" s="281"/>
      <c r="E37" s="281"/>
      <c r="F37" s="49"/>
      <c r="G37" s="48"/>
      <c r="H37" s="38"/>
      <c r="I37" s="16"/>
      <c r="J37" s="168"/>
      <c r="K37" s="16"/>
      <c r="L37" s="16"/>
      <c r="M37" s="168"/>
      <c r="N37" s="16"/>
      <c r="O37" s="95"/>
      <c r="P37" s="16"/>
      <c r="Q37" s="41"/>
    </row>
    <row r="38" spans="1:17" ht="15" customHeight="1">
      <c r="A38" s="238"/>
      <c r="B38" s="96"/>
      <c r="C38" s="281"/>
      <c r="D38" s="281"/>
      <c r="E38" s="281"/>
      <c r="F38" s="230">
        <v>1103</v>
      </c>
      <c r="G38" s="55">
        <f>IF(COUNTIF(I24:I26,"&lt;&gt; ")+COUNTIF(I28:I30,"&lt;&gt; ")+COUNTIF(I32:I36,"&lt;&gt; ")=0,SUM(G24:G26,G28:G30,0.1*G32,0.2*G33,0.5*G34,G35),"")</f>
        <v>464177418.04640001</v>
      </c>
      <c r="H38" s="36" t="s">
        <v>184</v>
      </c>
      <c r="I38" s="16"/>
      <c r="J38" s="16"/>
      <c r="K38" s="16"/>
      <c r="L38" s="16"/>
      <c r="M38" s="16"/>
      <c r="N38" s="16"/>
      <c r="O38" s="91"/>
      <c r="P38" s="16"/>
      <c r="Q38" s="28"/>
    </row>
    <row r="39" spans="1:17" ht="20.100000000000001" customHeight="1">
      <c r="A39" s="238"/>
      <c r="B39" s="211"/>
      <c r="C39" s="122"/>
      <c r="D39" s="122"/>
      <c r="E39" s="121"/>
      <c r="F39" s="212"/>
      <c r="G39" s="213"/>
      <c r="H39" s="214"/>
      <c r="I39" s="123"/>
      <c r="J39" s="123"/>
      <c r="K39" s="215"/>
      <c r="L39" s="123"/>
      <c r="M39" s="123"/>
      <c r="N39" s="123"/>
      <c r="O39" s="204"/>
      <c r="P39" s="16"/>
      <c r="Q39" s="28"/>
    </row>
    <row r="40" spans="1:17" ht="20.100000000000001" customHeight="1">
      <c r="A40" s="238"/>
      <c r="B40" s="69" t="s">
        <v>109</v>
      </c>
      <c r="C40" s="70"/>
      <c r="D40" s="70"/>
      <c r="E40" s="70"/>
      <c r="F40" s="70"/>
      <c r="G40" s="70"/>
      <c r="H40" s="87"/>
      <c r="I40" s="70"/>
      <c r="J40" s="70"/>
      <c r="K40" s="70"/>
      <c r="L40" s="70"/>
      <c r="M40" s="70"/>
      <c r="N40" s="70"/>
      <c r="O40" s="71"/>
      <c r="P40" s="16"/>
      <c r="Q40" s="28"/>
    </row>
    <row r="41" spans="1:17" ht="20.100000000000001" customHeight="1">
      <c r="A41" s="238"/>
      <c r="B41" s="216"/>
      <c r="C41" s="217"/>
      <c r="D41" s="217"/>
      <c r="E41" s="218"/>
      <c r="F41" s="219"/>
      <c r="G41" s="220"/>
      <c r="H41" s="221"/>
      <c r="I41" s="220"/>
      <c r="J41" s="207"/>
      <c r="K41" s="222"/>
      <c r="L41" s="220"/>
      <c r="M41" s="207"/>
      <c r="N41" s="220"/>
      <c r="O41" s="210"/>
      <c r="P41" s="16"/>
      <c r="Q41" s="28"/>
    </row>
    <row r="42" spans="1:17" ht="15" customHeight="1">
      <c r="A42" s="238"/>
      <c r="B42" s="90"/>
      <c r="C42" s="61" t="s">
        <v>334</v>
      </c>
      <c r="D42" s="62"/>
      <c r="E42" s="63"/>
      <c r="F42" s="60" t="s">
        <v>219</v>
      </c>
      <c r="G42" s="40" t="str">
        <f>G$22</f>
        <v>Amount in thousand EUR</v>
      </c>
      <c r="H42" s="38"/>
      <c r="I42" s="44" t="str">
        <f>I$22</f>
        <v>Checks</v>
      </c>
      <c r="J42" s="16"/>
      <c r="K42" s="44" t="str">
        <f>K$22</f>
        <v>Remarks</v>
      </c>
      <c r="L42" s="44" t="str">
        <f>L$22</f>
        <v>Comments</v>
      </c>
      <c r="M42" s="16"/>
      <c r="N42" s="44" t="str">
        <f>N$22</f>
        <v>Supervisor Comments</v>
      </c>
      <c r="O42" s="91"/>
      <c r="P42" s="16"/>
      <c r="Q42" s="28"/>
    </row>
    <row r="43" spans="1:17" s="25" customFormat="1" ht="15" customHeight="1">
      <c r="A43" s="238"/>
      <c r="B43" s="94"/>
      <c r="C43" s="64" t="s">
        <v>370</v>
      </c>
      <c r="D43" s="65"/>
      <c r="E43" s="66"/>
      <c r="F43" s="230">
        <v>1033</v>
      </c>
      <c r="G43" s="271">
        <v>52153756</v>
      </c>
      <c r="H43" s="38" t="s">
        <v>71</v>
      </c>
      <c r="I43" s="57" t="str">
        <f>IF(ISTEXT(G43),"No text please",IF(G43&lt;0,"No negatives please",IF(ISBLANK(G43),"Please enter a value",IF(AND(G43=0,ISERROR(FIND("zero",K43))),"Please confirm zero",IF(AND(G43&lt;&gt;0,K43="Confirmed zero"),"Value not zero",IF($G$43&lt;$G$44,"&lt; 3.a.(1)"," "))))))</f>
        <v xml:space="preserve"> </v>
      </c>
      <c r="J43" s="168"/>
      <c r="K43" s="47"/>
      <c r="L43" s="241"/>
      <c r="M43" s="168"/>
      <c r="N43" s="242"/>
      <c r="O43" s="95"/>
      <c r="P43" s="16"/>
      <c r="Q43" s="41"/>
    </row>
    <row r="44" spans="1:17" s="25" customFormat="1" ht="15" customHeight="1">
      <c r="A44" s="238"/>
      <c r="B44" s="94"/>
      <c r="C44" s="231" t="s">
        <v>191</v>
      </c>
      <c r="D44" s="68"/>
      <c r="E44" s="66"/>
      <c r="F44" s="230">
        <v>1034</v>
      </c>
      <c r="G44" s="271">
        <v>0</v>
      </c>
      <c r="H44" s="38" t="s">
        <v>192</v>
      </c>
      <c r="I44" s="57" t="str">
        <f>IF(ISTEXT(G44),"No text please",IF(G44&lt;0,"No negatives please",IF(ISBLANK(G44),"Please enter a value",IF(AND(G44=0,ISERROR(FIND("zero",K44))),"Please confirm zero",IF(AND(G44&lt;&gt;0,K44="Confirmed zero"),"Value not zero",IF($G$43&lt;$G$44,"&gt; 3.a."," "))))))</f>
        <v xml:space="preserve"> </v>
      </c>
      <c r="J44" s="168"/>
      <c r="K44" s="47" t="s">
        <v>178</v>
      </c>
      <c r="L44" s="241"/>
      <c r="M44" s="168"/>
      <c r="N44" s="242"/>
      <c r="O44" s="95"/>
      <c r="P44" s="16"/>
      <c r="Q44" s="41"/>
    </row>
    <row r="45" spans="1:17" s="25" customFormat="1" ht="15" customHeight="1">
      <c r="A45" s="238"/>
      <c r="B45" s="94"/>
      <c r="C45" s="64" t="s">
        <v>369</v>
      </c>
      <c r="D45" s="65"/>
      <c r="E45" s="66"/>
      <c r="F45" s="230">
        <v>1035</v>
      </c>
      <c r="G45" s="271">
        <v>27165204</v>
      </c>
      <c r="H45" s="38" t="s">
        <v>72</v>
      </c>
      <c r="I45" s="57" t="str">
        <f>IF(ISTEXT(G45),"No text please",IF(G45&lt;0,"No negatives please",IF(ISBLANK(G45),"Please enter a value",IF(AND(G45=0,ISERROR(FIND("zero",K45))),"Please confirm zero",IF(AND(G45&lt;&gt;0,K45="Confirmed zero"),"Value not zero"," ")))))</f>
        <v xml:space="preserve"> </v>
      </c>
      <c r="J45" s="168"/>
      <c r="K45" s="47"/>
      <c r="L45" s="241"/>
      <c r="M45" s="168"/>
      <c r="N45" s="242"/>
      <c r="O45" s="95"/>
      <c r="P45" s="16"/>
      <c r="Q45" s="41"/>
    </row>
    <row r="46" spans="1:17" ht="15" customHeight="1">
      <c r="A46" s="238"/>
      <c r="B46" s="94"/>
      <c r="C46" s="64" t="s">
        <v>371</v>
      </c>
      <c r="D46" s="65"/>
      <c r="E46" s="66"/>
      <c r="F46" s="49"/>
      <c r="G46" s="48"/>
      <c r="H46" s="38"/>
      <c r="I46" s="48"/>
      <c r="J46" s="16"/>
      <c r="K46" s="48"/>
      <c r="L46" s="48"/>
      <c r="M46" s="16"/>
      <c r="N46" s="48"/>
      <c r="O46" s="91"/>
      <c r="P46" s="16"/>
      <c r="Q46" s="28"/>
    </row>
    <row r="47" spans="1:17" s="25" customFormat="1" ht="15" customHeight="1">
      <c r="A47" s="238"/>
      <c r="B47" s="94"/>
      <c r="C47" s="231" t="s">
        <v>64</v>
      </c>
      <c r="D47" s="68"/>
      <c r="E47" s="66"/>
      <c r="F47" s="230">
        <v>1036</v>
      </c>
      <c r="G47" s="53">
        <v>8287779</v>
      </c>
      <c r="H47" s="38" t="s">
        <v>93</v>
      </c>
      <c r="I47" s="57" t="str">
        <f>IF(ISTEXT(G47),"No text please",IF(G47&lt;0,"No negatives please",IF(ISBLANK(G47),"Please enter a value",IF(AND(G47=0,ISERROR(FIND("zero",K47))),"Please confirm zero",IF(AND(G47&lt;&gt;0,K47="Confirmed zero"),"Value not zero"," ")))))</f>
        <v xml:space="preserve"> </v>
      </c>
      <c r="J47" s="168"/>
      <c r="K47" s="47"/>
      <c r="L47" s="241"/>
      <c r="M47" s="168"/>
      <c r="N47" s="242"/>
      <c r="O47" s="95"/>
      <c r="P47" s="16"/>
      <c r="Q47" s="41"/>
    </row>
    <row r="48" spans="1:17" s="25" customFormat="1" ht="15" customHeight="1">
      <c r="A48" s="238"/>
      <c r="B48" s="94"/>
      <c r="C48" s="231" t="s">
        <v>65</v>
      </c>
      <c r="D48" s="68"/>
      <c r="E48" s="66"/>
      <c r="F48" s="230">
        <v>1037</v>
      </c>
      <c r="G48" s="53">
        <v>0</v>
      </c>
      <c r="H48" s="38" t="s">
        <v>94</v>
      </c>
      <c r="I48" s="57" t="str">
        <f>IF(ISTEXT(G48),"No text please",IF(G48&lt;0,"No negatives please",IF(ISBLANK(G48),"Please enter a value",IF(AND(G48=0,ISERROR(FIND("zero",K48))),"Please confirm zero",IF(AND(G48&lt;&gt;0,K48="Confirmed zero"),"Value not zero"," ")))))</f>
        <v xml:space="preserve"> </v>
      </c>
      <c r="J48" s="168"/>
      <c r="K48" s="47" t="s">
        <v>178</v>
      </c>
      <c r="L48" s="241"/>
      <c r="M48" s="168"/>
      <c r="N48" s="242"/>
      <c r="O48" s="95"/>
      <c r="P48" s="16"/>
      <c r="Q48" s="41"/>
    </row>
    <row r="49" spans="1:17" s="25" customFormat="1" ht="15" customHeight="1">
      <c r="A49" s="238"/>
      <c r="B49" s="94"/>
      <c r="C49" s="231" t="s">
        <v>66</v>
      </c>
      <c r="D49" s="68"/>
      <c r="E49" s="66"/>
      <c r="F49" s="230">
        <v>1038</v>
      </c>
      <c r="G49" s="53">
        <v>0</v>
      </c>
      <c r="H49" s="38" t="s">
        <v>95</v>
      </c>
      <c r="I49" s="57" t="str">
        <f>IF(ISTEXT(G49),"No text please",IF(G49&lt;0,"No negatives please",IF(ISBLANK(G49),"Please enter a value",IF(AND(G49=0,ISERROR(FIND("zero",K49))),"Please confirm zero",IF(AND(G49&lt;&gt;0,K49="Confirmed zero"),"Value not zero"," ")))))</f>
        <v xml:space="preserve"> </v>
      </c>
      <c r="J49" s="168"/>
      <c r="K49" s="47" t="s">
        <v>178</v>
      </c>
      <c r="L49" s="241"/>
      <c r="M49" s="168"/>
      <c r="N49" s="242"/>
      <c r="O49" s="95"/>
      <c r="P49" s="16"/>
      <c r="Q49" s="41"/>
    </row>
    <row r="50" spans="1:17" s="25" customFormat="1" ht="15" customHeight="1">
      <c r="A50" s="238"/>
      <c r="B50" s="94"/>
      <c r="C50" s="231" t="s">
        <v>67</v>
      </c>
      <c r="D50" s="68"/>
      <c r="E50" s="66"/>
      <c r="F50" s="230">
        <v>1039</v>
      </c>
      <c r="G50" s="53">
        <v>0</v>
      </c>
      <c r="H50" s="38" t="s">
        <v>96</v>
      </c>
      <c r="I50" s="57" t="str">
        <f>IF(ISTEXT(G50),"No text please",IF(G50&lt;0,"No negatives please",IF(ISBLANK(G50),"Please enter a value",IF(AND(G50=0,ISERROR(FIND("zero",K50))),"Please confirm zero",IF(AND(G50&lt;&gt;0,K50="Confirmed zero"),"Value not zero"," ")))))</f>
        <v xml:space="preserve"> </v>
      </c>
      <c r="J50" s="168"/>
      <c r="K50" s="47" t="s">
        <v>178</v>
      </c>
      <c r="L50" s="241"/>
      <c r="M50" s="168"/>
      <c r="N50" s="242"/>
      <c r="O50" s="95"/>
      <c r="P50" s="16"/>
      <c r="Q50" s="41"/>
    </row>
    <row r="51" spans="1:17" s="25" customFormat="1" ht="15" customHeight="1">
      <c r="A51" s="238"/>
      <c r="B51" s="94"/>
      <c r="C51" s="231" t="s">
        <v>241</v>
      </c>
      <c r="D51" s="68"/>
      <c r="E51" s="66"/>
      <c r="F51" s="230">
        <v>1040</v>
      </c>
      <c r="G51" s="53">
        <v>36300</v>
      </c>
      <c r="H51" s="38" t="s">
        <v>97</v>
      </c>
      <c r="I51" s="57" t="str">
        <f>IF(ISTEXT(G51),"No text please",IF(G51&lt;0,"No negatives please",IF(ISBLANK(G51),"Please enter a value",IF(AND(G51=0,ISERROR(FIND("zero",K51))),"Please confirm zero",IF(AND(G51&lt;&gt;0,K51="Confirmed zero"),"Value not zero",IF($G$51&lt;$G$52,"&lt; 3.c.(6)"," "))))))</f>
        <v xml:space="preserve"> </v>
      </c>
      <c r="J51" s="168"/>
      <c r="K51" s="47"/>
      <c r="L51" s="241"/>
      <c r="M51" s="168"/>
      <c r="N51" s="242"/>
      <c r="O51" s="95"/>
      <c r="P51" s="16"/>
      <c r="Q51" s="41"/>
    </row>
    <row r="52" spans="1:17" s="25" customFormat="1" ht="15" customHeight="1">
      <c r="A52" s="238"/>
      <c r="B52" s="94"/>
      <c r="C52" s="116" t="s">
        <v>355</v>
      </c>
      <c r="D52" s="117"/>
      <c r="E52" s="66"/>
      <c r="F52" s="230">
        <v>1041</v>
      </c>
      <c r="G52" s="53">
        <v>0</v>
      </c>
      <c r="H52" s="38" t="s">
        <v>98</v>
      </c>
      <c r="I52" s="57" t="str">
        <f>IF(ISTEXT(G52),"No text please",IF(G52&lt;0,"No negatives please",IF(ISBLANK(G52),"Please enter a value",IF(AND(G52=0,ISERROR(FIND("zero",K52))),"Please confirm zero",IF(AND(G52&lt;&gt;0,K52="Confirmed zero"),"Value not zero",IF($G$51&lt;$G$52,"&gt; 3.c.(5)"," "))))))</f>
        <v xml:space="preserve"> </v>
      </c>
      <c r="J52" s="168"/>
      <c r="K52" s="47" t="s">
        <v>178</v>
      </c>
      <c r="L52" s="241"/>
      <c r="M52" s="168"/>
      <c r="N52" s="242"/>
      <c r="O52" s="95"/>
      <c r="P52" s="16"/>
      <c r="Q52" s="41"/>
    </row>
    <row r="53" spans="1:17" s="25" customFormat="1" ht="15" customHeight="1">
      <c r="A53" s="238"/>
      <c r="B53" s="94"/>
      <c r="C53" s="64" t="s">
        <v>374</v>
      </c>
      <c r="D53" s="65"/>
      <c r="E53" s="66"/>
      <c r="F53" s="230">
        <v>1042</v>
      </c>
      <c r="G53" s="53">
        <v>1486900</v>
      </c>
      <c r="H53" s="38" t="s">
        <v>73</v>
      </c>
      <c r="I53" s="57" t="str">
        <f>IF(ISTEXT(G53),"No text please",IF(G53&lt;0,"No negatives please",IF(ISBLANK(G53),"Please enter a value",IF(AND(G53=0,ISERROR(FIND("zero",K53))),"Please confirm zero",IF(AND(G53&lt;&gt;0,K53="Confirmed zero"),"Value not zero"," ")))))</f>
        <v xml:space="preserve"> </v>
      </c>
      <c r="J53" s="168"/>
      <c r="K53" s="47"/>
      <c r="L53" s="241"/>
      <c r="M53" s="168"/>
      <c r="N53" s="242"/>
      <c r="O53" s="95"/>
      <c r="P53" s="16"/>
      <c r="Q53" s="41"/>
    </row>
    <row r="54" spans="1:17" ht="15" customHeight="1">
      <c r="A54" s="238"/>
      <c r="B54" s="94"/>
      <c r="C54" s="64" t="s">
        <v>372</v>
      </c>
      <c r="D54" s="65"/>
      <c r="E54" s="66"/>
      <c r="F54" s="49"/>
      <c r="G54" s="48"/>
      <c r="H54" s="38"/>
      <c r="I54" s="48"/>
      <c r="J54" s="16"/>
      <c r="K54" s="48"/>
      <c r="L54" s="48"/>
      <c r="M54" s="16"/>
      <c r="N54" s="48"/>
      <c r="O54" s="91"/>
      <c r="P54" s="16"/>
      <c r="Q54" s="28"/>
    </row>
    <row r="55" spans="1:17" s="25" customFormat="1" ht="15" customHeight="1">
      <c r="A55" s="238"/>
      <c r="B55" s="94"/>
      <c r="C55" s="231" t="s">
        <v>242</v>
      </c>
      <c r="D55" s="68"/>
      <c r="E55" s="66"/>
      <c r="F55" s="54">
        <v>1043</v>
      </c>
      <c r="G55" s="53">
        <v>298522</v>
      </c>
      <c r="H55" s="38" t="s">
        <v>59</v>
      </c>
      <c r="I55" s="57" t="str">
        <f>IF(ISTEXT(G55),"No text please",IF(G55&lt;0,"No negatives please",IF(ISBLANK(G55),"Please enter a value",IF(AND(G55=0,ISERROR(FIND("zero",K55))),"Please confirm zero",IF(AND(G55&lt;&gt;0,K55="Confirmed zero"),"Value not zero"," ")))))</f>
        <v xml:space="preserve"> </v>
      </c>
      <c r="J55" s="168"/>
      <c r="K55" s="47"/>
      <c r="L55" s="241"/>
      <c r="M55" s="168"/>
      <c r="N55" s="242"/>
      <c r="O55" s="95"/>
      <c r="P55" s="16"/>
      <c r="Q55" s="41"/>
    </row>
    <row r="56" spans="1:17" s="25" customFormat="1" ht="15" customHeight="1">
      <c r="A56" s="238"/>
      <c r="B56" s="94"/>
      <c r="C56" s="231" t="s">
        <v>68</v>
      </c>
      <c r="D56" s="68"/>
      <c r="E56" s="66"/>
      <c r="F56" s="230">
        <v>1044</v>
      </c>
      <c r="G56" s="271">
        <v>1520176.176</v>
      </c>
      <c r="H56" s="38" t="s">
        <v>99</v>
      </c>
      <c r="I56" s="57" t="str">
        <f>IF(ISTEXT(G56),"No text please",IF(G56&lt;0,"No negatives please",IF(ISBLANK(G56),"Please enter a value",IF(AND(G56=0,ISERROR(FIND("zero",K56))),"Please confirm zero",IF(AND(G56&lt;&gt;0,K56="Confirmed zero"),"Value not zero"," ")))))</f>
        <v xml:space="preserve"> </v>
      </c>
      <c r="J56" s="168"/>
      <c r="K56" s="47"/>
      <c r="L56" s="241"/>
      <c r="M56" s="168"/>
      <c r="N56" s="242"/>
      <c r="O56" s="95"/>
      <c r="P56" s="16"/>
      <c r="Q56" s="41"/>
    </row>
    <row r="57" spans="1:17" s="25" customFormat="1" ht="15" customHeight="1">
      <c r="A57" s="238"/>
      <c r="B57" s="94"/>
      <c r="C57" s="278" t="s">
        <v>193</v>
      </c>
      <c r="D57" s="279"/>
      <c r="E57" s="280"/>
      <c r="F57" s="49"/>
      <c r="G57" s="48"/>
      <c r="H57" s="38"/>
      <c r="I57" s="16"/>
      <c r="J57" s="168"/>
      <c r="K57" s="16"/>
      <c r="L57" s="16"/>
      <c r="M57" s="168"/>
      <c r="N57" s="16"/>
      <c r="O57" s="95"/>
      <c r="P57" s="16"/>
      <c r="Q57" s="41"/>
    </row>
    <row r="58" spans="1:17" ht="15" customHeight="1">
      <c r="A58" s="238"/>
      <c r="B58" s="94"/>
      <c r="C58" s="278"/>
      <c r="D58" s="279"/>
      <c r="E58" s="280"/>
      <c r="F58" s="230">
        <v>1045</v>
      </c>
      <c r="G58" s="55">
        <f>IF(COUNTIF(I43:I45,"&lt;&gt; ")+COUNTIF(I47:I53,"&lt;&gt; ")+COUNTIF(I55:I56,"&lt;&gt; ")=0,G43+G45+SUM(G47:G50)+MAX((G51-G52),0)+G53+G55+G56,"")</f>
        <v>90948637.175999999</v>
      </c>
      <c r="H58" s="38" t="s">
        <v>80</v>
      </c>
      <c r="I58" s="16"/>
      <c r="J58" s="16"/>
      <c r="K58" s="16"/>
      <c r="L58" s="16"/>
      <c r="M58" s="16"/>
      <c r="N58" s="16"/>
      <c r="O58" s="91"/>
      <c r="P58" s="16"/>
      <c r="Q58" s="28"/>
    </row>
    <row r="59" spans="1:17" ht="30" customHeight="1">
      <c r="A59" s="238"/>
      <c r="B59" s="97"/>
      <c r="C59" s="33"/>
      <c r="D59" s="33"/>
      <c r="E59" s="23"/>
      <c r="F59" s="45"/>
      <c r="G59" s="24"/>
      <c r="H59" s="38"/>
      <c r="I59" s="24"/>
      <c r="J59" s="16"/>
      <c r="K59" s="15"/>
      <c r="L59" s="24"/>
      <c r="M59" s="16"/>
      <c r="N59" s="24"/>
      <c r="O59" s="91"/>
      <c r="P59" s="16"/>
      <c r="Q59" s="28"/>
    </row>
    <row r="60" spans="1:17" ht="15" customHeight="1">
      <c r="A60" s="238"/>
      <c r="B60" s="90"/>
      <c r="C60" s="61" t="s">
        <v>335</v>
      </c>
      <c r="D60" s="62"/>
      <c r="E60" s="63"/>
      <c r="F60" s="77" t="s">
        <v>219</v>
      </c>
      <c r="G60" s="40" t="str">
        <f>G$22</f>
        <v>Amount in thousand EUR</v>
      </c>
      <c r="H60" s="38"/>
      <c r="I60" s="44" t="str">
        <f>I$22</f>
        <v>Checks</v>
      </c>
      <c r="J60" s="16"/>
      <c r="K60" s="44" t="str">
        <f>K$22</f>
        <v>Remarks</v>
      </c>
      <c r="L60" s="44" t="str">
        <f>L$22</f>
        <v>Comments</v>
      </c>
      <c r="M60" s="16"/>
      <c r="N60" s="44" t="str">
        <f>N$22</f>
        <v>Supervisor Comments</v>
      </c>
      <c r="O60" s="91"/>
      <c r="P60" s="16"/>
      <c r="Q60" s="28"/>
    </row>
    <row r="61" spans="1:17" s="25" customFormat="1" ht="15" customHeight="1">
      <c r="A61" s="238"/>
      <c r="B61" s="94"/>
      <c r="C61" s="64" t="s">
        <v>626</v>
      </c>
      <c r="D61" s="65"/>
      <c r="E61" s="66"/>
      <c r="F61" s="49"/>
      <c r="G61" s="48"/>
      <c r="H61" s="38"/>
      <c r="I61" s="48"/>
      <c r="J61" s="16"/>
      <c r="K61" s="48"/>
      <c r="L61" s="48"/>
      <c r="M61" s="16"/>
      <c r="N61" s="48"/>
      <c r="O61" s="95"/>
      <c r="P61" s="16"/>
      <c r="Q61" s="41"/>
    </row>
    <row r="62" spans="1:17" s="25" customFormat="1" ht="15" customHeight="1">
      <c r="A62" s="238"/>
      <c r="B62" s="96"/>
      <c r="C62" s="231" t="s">
        <v>485</v>
      </c>
      <c r="D62" s="65"/>
      <c r="E62" s="66"/>
      <c r="F62" s="230">
        <v>1046</v>
      </c>
      <c r="G62" s="271">
        <v>11202139</v>
      </c>
      <c r="H62" s="38" t="s">
        <v>487</v>
      </c>
      <c r="I62" s="57" t="str">
        <f>IF(ISTEXT(G62),"No text please",IF(G62&lt;0,"No negatives please",IF(ISBLANK(G62),"Please enter a value",IF(AND(G62=0,ISERROR(FIND("zero",K62))),"Please confirm zero",IF(AND(G62&lt;&gt;0,K62="Confirmed zero"),"Value not zero"," ")))))</f>
        <v xml:space="preserve"> </v>
      </c>
      <c r="J62" s="168"/>
      <c r="K62" s="47"/>
      <c r="L62" s="241"/>
      <c r="M62" s="168"/>
      <c r="N62" s="242"/>
      <c r="O62" s="95"/>
      <c r="P62" s="16"/>
      <c r="Q62" s="41"/>
    </row>
    <row r="63" spans="1:17" s="25" customFormat="1" ht="15" customHeight="1">
      <c r="A63" s="238"/>
      <c r="B63" s="96"/>
      <c r="C63" s="231" t="s">
        <v>486</v>
      </c>
      <c r="D63" s="65"/>
      <c r="E63" s="66"/>
      <c r="F63" s="230">
        <v>1047</v>
      </c>
      <c r="G63" s="271">
        <v>28485614</v>
      </c>
      <c r="H63" s="38" t="s">
        <v>488</v>
      </c>
      <c r="I63" s="57" t="str">
        <f>IF(ISTEXT(G63),"No text please",IF(G63&lt;0,"No negatives please",IF(ISBLANK(G63),"Please enter a value",IF(AND(G63=0,ISERROR(FIND("zero",K63))),"Please confirm zero",IF(AND(G63&lt;&gt;0,K63="Confirmed zero"),"Value not zero"," ")))))</f>
        <v xml:space="preserve"> </v>
      </c>
      <c r="J63" s="168"/>
      <c r="K63" s="47"/>
      <c r="L63" s="241"/>
      <c r="M63" s="168"/>
      <c r="N63" s="242"/>
      <c r="O63" s="95"/>
      <c r="P63" s="16"/>
      <c r="Q63" s="41"/>
    </row>
    <row r="64" spans="1:17" ht="15" customHeight="1">
      <c r="A64" s="238"/>
      <c r="B64" s="92"/>
      <c r="C64" s="231" t="s">
        <v>490</v>
      </c>
      <c r="D64" s="65"/>
      <c r="E64" s="66"/>
      <c r="F64" s="230">
        <v>1105</v>
      </c>
      <c r="G64" s="271">
        <v>0</v>
      </c>
      <c r="H64" s="38" t="s">
        <v>489</v>
      </c>
      <c r="I64" s="57" t="str">
        <f>IF(ISTEXT(G64),"No text please",IF(G64&lt;0,"No negatives please",IF(ISBLANK(G64),"Please enter a value",IF(AND(G64=0,ISERROR(FIND("zero",K64))),"Please confirm zero",IF(AND(G64&lt;&gt;0,K64="Confirmed zero"),"Value not zero"," ")))))</f>
        <v xml:space="preserve"> </v>
      </c>
      <c r="J64" s="16"/>
      <c r="K64" s="47" t="s">
        <v>178</v>
      </c>
      <c r="L64" s="241"/>
      <c r="M64" s="16"/>
      <c r="N64" s="242"/>
      <c r="O64" s="91"/>
      <c r="P64" s="28"/>
      <c r="Q64" s="28"/>
    </row>
    <row r="65" spans="1:17" s="25" customFormat="1" ht="15" customHeight="1">
      <c r="A65" s="238"/>
      <c r="B65" s="96"/>
      <c r="C65" s="64" t="s">
        <v>491</v>
      </c>
      <c r="D65" s="65"/>
      <c r="E65" s="66"/>
      <c r="F65" s="230">
        <v>1048</v>
      </c>
      <c r="G65" s="271">
        <v>243294</v>
      </c>
      <c r="H65" s="38" t="s">
        <v>100</v>
      </c>
      <c r="I65" s="57" t="str">
        <f>IF(ISTEXT(G65),"No text please",IF(G65&lt;0,"No negatives please",IF(ISBLANK(G65),"Please enter a value",IF(AND(G65=0,ISERROR(FIND("zero",K65))),"Please confirm zero",IF(AND(G65&lt;&gt;0,K65="Confirmed zero"),"Value not zero"," ")))))</f>
        <v xml:space="preserve"> </v>
      </c>
      <c r="J65" s="168"/>
      <c r="K65" s="47"/>
      <c r="L65" s="241"/>
      <c r="M65" s="168"/>
      <c r="N65" s="242"/>
      <c r="O65" s="95"/>
      <c r="P65" s="16"/>
      <c r="Q65" s="41"/>
    </row>
    <row r="66" spans="1:17" s="25" customFormat="1" ht="15" customHeight="1">
      <c r="A66" s="238"/>
      <c r="B66" s="96"/>
      <c r="C66" s="64" t="s">
        <v>492</v>
      </c>
      <c r="D66" s="65"/>
      <c r="E66" s="66"/>
      <c r="F66" s="230">
        <v>1049</v>
      </c>
      <c r="G66" s="271">
        <v>842001.84100000001</v>
      </c>
      <c r="H66" s="38" t="s">
        <v>101</v>
      </c>
      <c r="I66" s="57" t="str">
        <f>IF(ISTEXT(G66),"No text please",IF(G66&lt;0,"No negatives please",IF(ISBLANK(G66),"Please enter a value",IF(AND(G66=0,ISERROR(FIND("zero",K66))),"Please confirm zero",IF(AND(G66&lt;&gt;0,K66="Confirmed zero"),"Value not zero"," ")))))</f>
        <v xml:space="preserve"> </v>
      </c>
      <c r="J66" s="168"/>
      <c r="K66" s="47"/>
      <c r="L66" s="241"/>
      <c r="M66" s="168"/>
      <c r="N66" s="242"/>
      <c r="O66" s="95"/>
      <c r="P66" s="16"/>
      <c r="Q66" s="41"/>
    </row>
    <row r="67" spans="1:17" s="25" customFormat="1" ht="15" customHeight="1">
      <c r="A67" s="238"/>
      <c r="B67" s="96"/>
      <c r="C67" s="64" t="s">
        <v>493</v>
      </c>
      <c r="D67" s="65"/>
      <c r="E67" s="66"/>
      <c r="F67" s="49"/>
      <c r="G67" s="48"/>
      <c r="H67" s="38"/>
      <c r="I67" s="48"/>
      <c r="J67" s="16"/>
      <c r="K67" s="48"/>
      <c r="L67" s="48"/>
      <c r="M67" s="41"/>
      <c r="N67" s="48"/>
      <c r="O67" s="91"/>
      <c r="P67" s="16"/>
      <c r="Q67" s="41"/>
    </row>
    <row r="68" spans="1:17" s="25" customFormat="1" ht="15" customHeight="1">
      <c r="A68" s="238"/>
      <c r="B68" s="96"/>
      <c r="C68" s="231" t="s">
        <v>243</v>
      </c>
      <c r="D68" s="68"/>
      <c r="E68" s="66"/>
      <c r="F68" s="230">
        <v>1050</v>
      </c>
      <c r="G68" s="271">
        <v>9139033.6799999997</v>
      </c>
      <c r="H68" s="38" t="s">
        <v>494</v>
      </c>
      <c r="I68" s="57" t="str">
        <f>IF(ISTEXT(G68),"No text please",IF(G68&lt;0,"No negatives please",IF(ISBLANK(G68),"Please enter a value",IF(AND(G68=0,ISERROR(FIND("zero",K68))),"Please confirm zero",IF(AND(G68&lt;&gt;0,K68="Confirmed zero"),"Value not zero"," ")))))</f>
        <v xml:space="preserve"> </v>
      </c>
      <c r="J68" s="168"/>
      <c r="K68" s="47"/>
      <c r="L68" s="241"/>
      <c r="M68" s="168"/>
      <c r="N68" s="242"/>
      <c r="O68" s="95"/>
      <c r="P68" s="16"/>
      <c r="Q68" s="41"/>
    </row>
    <row r="69" spans="1:17" s="25" customFormat="1" ht="15" customHeight="1">
      <c r="A69" s="238"/>
      <c r="B69" s="96"/>
      <c r="C69" s="231" t="s">
        <v>68</v>
      </c>
      <c r="D69" s="68"/>
      <c r="E69" s="66"/>
      <c r="F69" s="230">
        <v>1051</v>
      </c>
      <c r="G69" s="53">
        <v>8636356</v>
      </c>
      <c r="H69" s="38" t="s">
        <v>495</v>
      </c>
      <c r="I69" s="57" t="str">
        <f>IF(ISTEXT(G69),"No text please",IF(G69&lt;0,"No negatives please",IF(ISBLANK(G69),"Please enter a value",IF(AND(G69=0,ISERROR(FIND("zero",K69))),"Please confirm zero",IF(AND(G69&lt;&gt;0,K69="Confirmed zero"),"Value not zero"," ")))))</f>
        <v xml:space="preserve"> </v>
      </c>
      <c r="J69" s="168"/>
      <c r="K69" s="47"/>
      <c r="L69" s="241"/>
      <c r="M69" s="168"/>
      <c r="N69" s="242"/>
      <c r="O69" s="95"/>
      <c r="P69" s="16"/>
      <c r="Q69" s="41"/>
    </row>
    <row r="70" spans="1:17" s="25" customFormat="1" ht="15" customHeight="1">
      <c r="A70" s="238"/>
      <c r="B70" s="96"/>
      <c r="C70" s="233" t="s">
        <v>497</v>
      </c>
      <c r="D70" s="234"/>
      <c r="E70" s="76"/>
      <c r="F70" s="230">
        <v>1052</v>
      </c>
      <c r="G70" s="55">
        <f>IF(COUNTIF(I62:I66,"&lt;&gt; ")+COUNTIF(I68:I69,"&lt;&gt; ")=0,SUM(G62:G65)+G66+G68+G69,"")</f>
        <v>58548438.520999998</v>
      </c>
      <c r="H70" s="38" t="s">
        <v>496</v>
      </c>
      <c r="I70" s="16"/>
      <c r="J70" s="168"/>
      <c r="K70" s="16"/>
      <c r="L70" s="16"/>
      <c r="M70" s="168"/>
      <c r="N70" s="16"/>
      <c r="O70" s="91"/>
      <c r="P70" s="16"/>
      <c r="Q70" s="41"/>
    </row>
    <row r="71" spans="1:17" s="25" customFormat="1" ht="30" customHeight="1">
      <c r="A71" s="238"/>
      <c r="B71" s="97"/>
      <c r="C71" s="34"/>
      <c r="D71" s="34"/>
      <c r="E71" s="35"/>
      <c r="F71" s="46"/>
      <c r="G71" s="26"/>
      <c r="H71" s="32"/>
      <c r="I71" s="27"/>
      <c r="J71" s="168"/>
      <c r="K71" s="15"/>
      <c r="L71" s="18"/>
      <c r="M71" s="168"/>
      <c r="N71" s="18"/>
      <c r="O71" s="95"/>
      <c r="P71" s="16"/>
      <c r="Q71" s="41"/>
    </row>
    <row r="72" spans="1:17" ht="15" customHeight="1">
      <c r="A72" s="238"/>
      <c r="B72" s="90"/>
      <c r="C72" s="61" t="s">
        <v>336</v>
      </c>
      <c r="D72" s="62"/>
      <c r="E72" s="63"/>
      <c r="F72" s="60" t="s">
        <v>219</v>
      </c>
      <c r="G72" s="40" t="str">
        <f>G$22</f>
        <v>Amount in thousand EUR</v>
      </c>
      <c r="H72" s="38"/>
      <c r="I72" s="44" t="str">
        <f>I$22</f>
        <v>Checks</v>
      </c>
      <c r="J72" s="16"/>
      <c r="K72" s="44" t="str">
        <f>K$22</f>
        <v>Remarks</v>
      </c>
      <c r="L72" s="44" t="str">
        <f>L$22</f>
        <v>Comments</v>
      </c>
      <c r="M72" s="16"/>
      <c r="N72" s="44" t="str">
        <f>N$22</f>
        <v>Supervisor Comments</v>
      </c>
      <c r="O72" s="91"/>
      <c r="P72" s="16"/>
      <c r="Q72" s="28"/>
    </row>
    <row r="73" spans="1:17" s="25" customFormat="1" ht="15" customHeight="1">
      <c r="A73" s="238"/>
      <c r="B73" s="96"/>
      <c r="C73" s="64" t="s">
        <v>74</v>
      </c>
      <c r="D73" s="65"/>
      <c r="E73" s="66"/>
      <c r="F73" s="230">
        <v>1053</v>
      </c>
      <c r="G73" s="53">
        <v>25956000</v>
      </c>
      <c r="H73" s="38" t="s">
        <v>102</v>
      </c>
      <c r="I73" s="57" t="str">
        <f t="shared" ref="I73:I79" si="0">IF(ISTEXT(G73),"No text please",IF(G73&lt;0,"No negatives please",IF(ISBLANK(G73),"Please enter a value",IF(AND(G73=0,ISERROR(FIND("zero",K73))),"Please confirm zero",IF(AND(G73&lt;&gt;0,K73="Confirmed zero"),"Value not zero"," ")))))</f>
        <v xml:space="preserve"> </v>
      </c>
      <c r="J73" s="168"/>
      <c r="K73" s="47"/>
      <c r="L73" s="241"/>
      <c r="M73" s="168"/>
      <c r="N73" s="242"/>
      <c r="O73" s="95"/>
      <c r="P73" s="16"/>
      <c r="Q73" s="41"/>
    </row>
    <row r="74" spans="1:17" s="25" customFormat="1" ht="15" customHeight="1">
      <c r="A74" s="238"/>
      <c r="B74" s="96"/>
      <c r="C74" s="64" t="s">
        <v>75</v>
      </c>
      <c r="D74" s="65"/>
      <c r="E74" s="66"/>
      <c r="F74" s="230">
        <v>1054</v>
      </c>
      <c r="G74" s="53">
        <v>37404000</v>
      </c>
      <c r="H74" s="38" t="s">
        <v>103</v>
      </c>
      <c r="I74" s="57" t="str">
        <f t="shared" si="0"/>
        <v xml:space="preserve"> </v>
      </c>
      <c r="J74" s="168"/>
      <c r="K74" s="47"/>
      <c r="L74" s="241"/>
      <c r="M74" s="168"/>
      <c r="N74" s="242"/>
      <c r="O74" s="95"/>
      <c r="P74" s="16"/>
      <c r="Q74" s="41"/>
    </row>
    <row r="75" spans="1:17" s="25" customFormat="1" ht="15" customHeight="1">
      <c r="A75" s="238"/>
      <c r="B75" s="96"/>
      <c r="C75" s="64" t="s">
        <v>76</v>
      </c>
      <c r="D75" s="65"/>
      <c r="E75" s="66"/>
      <c r="F75" s="230">
        <v>1055</v>
      </c>
      <c r="G75" s="53">
        <v>9708236</v>
      </c>
      <c r="H75" s="38" t="s">
        <v>104</v>
      </c>
      <c r="I75" s="57" t="str">
        <f t="shared" si="0"/>
        <v xml:space="preserve"> </v>
      </c>
      <c r="J75" s="168"/>
      <c r="K75" s="47"/>
      <c r="L75" s="241"/>
      <c r="M75" s="168"/>
      <c r="N75" s="242"/>
      <c r="O75" s="95"/>
      <c r="P75" s="16"/>
      <c r="Q75" s="41"/>
    </row>
    <row r="76" spans="1:17" s="25" customFormat="1" ht="15" customHeight="1">
      <c r="A76" s="238"/>
      <c r="B76" s="96"/>
      <c r="C76" s="64" t="s">
        <v>77</v>
      </c>
      <c r="D76" s="65"/>
      <c r="E76" s="66"/>
      <c r="F76" s="230">
        <v>1056</v>
      </c>
      <c r="G76" s="53">
        <v>5911000</v>
      </c>
      <c r="H76" s="38" t="s">
        <v>105</v>
      </c>
      <c r="I76" s="57" t="str">
        <f t="shared" si="0"/>
        <v xml:space="preserve"> </v>
      </c>
      <c r="J76" s="168"/>
      <c r="K76" s="47"/>
      <c r="L76" s="241"/>
      <c r="M76" s="168"/>
      <c r="N76" s="242"/>
      <c r="O76" s="95"/>
      <c r="P76" s="16"/>
      <c r="Q76" s="41"/>
    </row>
    <row r="77" spans="1:17" s="25" customFormat="1" ht="15" customHeight="1">
      <c r="A77" s="238"/>
      <c r="B77" s="96"/>
      <c r="C77" s="64" t="s">
        <v>78</v>
      </c>
      <c r="D77" s="65"/>
      <c r="E77" s="66"/>
      <c r="F77" s="230">
        <v>1057</v>
      </c>
      <c r="G77" s="53">
        <v>3908000</v>
      </c>
      <c r="H77" s="38" t="s">
        <v>106</v>
      </c>
      <c r="I77" s="57" t="str">
        <f t="shared" si="0"/>
        <v xml:space="preserve"> </v>
      </c>
      <c r="J77" s="168"/>
      <c r="K77" s="47"/>
      <c r="L77" s="241"/>
      <c r="M77" s="168"/>
      <c r="N77" s="242"/>
      <c r="O77" s="95"/>
      <c r="P77" s="16"/>
      <c r="Q77" s="41"/>
    </row>
    <row r="78" spans="1:17" s="25" customFormat="1" ht="15" customHeight="1">
      <c r="A78" s="238"/>
      <c r="B78" s="96"/>
      <c r="C78" s="64" t="s">
        <v>79</v>
      </c>
      <c r="D78" s="65"/>
      <c r="E78" s="66"/>
      <c r="F78" s="230">
        <v>1058</v>
      </c>
      <c r="G78" s="53">
        <v>940000</v>
      </c>
      <c r="H78" s="38" t="s">
        <v>107</v>
      </c>
      <c r="I78" s="57" t="str">
        <f t="shared" si="0"/>
        <v xml:space="preserve"> </v>
      </c>
      <c r="J78" s="168"/>
      <c r="K78" s="47"/>
      <c r="L78" s="241"/>
      <c r="M78" s="168"/>
      <c r="N78" s="242"/>
      <c r="O78" s="95"/>
      <c r="P78" s="16"/>
      <c r="Q78" s="41"/>
    </row>
    <row r="79" spans="1:17" s="25" customFormat="1" ht="15" customHeight="1">
      <c r="A79" s="238"/>
      <c r="B79" s="96"/>
      <c r="C79" s="64" t="s">
        <v>190</v>
      </c>
      <c r="D79" s="65"/>
      <c r="E79" s="66"/>
      <c r="F79" s="230">
        <v>1059</v>
      </c>
      <c r="G79" s="53">
        <v>0</v>
      </c>
      <c r="H79" s="38" t="s">
        <v>108</v>
      </c>
      <c r="I79" s="57" t="str">
        <f t="shared" si="0"/>
        <v xml:space="preserve"> </v>
      </c>
      <c r="J79" s="168"/>
      <c r="K79" s="47" t="s">
        <v>178</v>
      </c>
      <c r="L79" s="241"/>
      <c r="M79" s="168"/>
      <c r="N79" s="242"/>
      <c r="O79" s="95"/>
      <c r="P79" s="16"/>
      <c r="Q79" s="41"/>
    </row>
    <row r="80" spans="1:17" ht="15" customHeight="1">
      <c r="A80" s="238"/>
      <c r="B80" s="96"/>
      <c r="C80" s="233" t="s">
        <v>255</v>
      </c>
      <c r="D80" s="234"/>
      <c r="E80" s="76"/>
      <c r="F80" s="230">
        <v>1060</v>
      </c>
      <c r="G80" s="55">
        <f>IF(COUNTIF(I73:I79,"&lt;&gt; ")=0,SUM(G73:G79),"")</f>
        <v>83827236</v>
      </c>
      <c r="H80" s="38" t="s">
        <v>256</v>
      </c>
      <c r="I80" s="16"/>
      <c r="J80" s="16"/>
      <c r="K80" s="16"/>
      <c r="L80" s="16"/>
      <c r="M80" s="16"/>
      <c r="N80" s="16"/>
      <c r="O80" s="91"/>
      <c r="P80" s="16"/>
      <c r="Q80" s="28"/>
    </row>
    <row r="81" spans="1:17" ht="20.100000000000001" customHeight="1">
      <c r="A81" s="238"/>
      <c r="B81" s="200"/>
      <c r="C81" s="201"/>
      <c r="D81" s="201"/>
      <c r="E81" s="123"/>
      <c r="F81" s="202"/>
      <c r="G81" s="123"/>
      <c r="H81" s="203"/>
      <c r="I81" s="123"/>
      <c r="J81" s="123"/>
      <c r="K81" s="123"/>
      <c r="L81" s="123"/>
      <c r="M81" s="123"/>
      <c r="N81" s="123"/>
      <c r="O81" s="204"/>
      <c r="P81" s="16"/>
      <c r="Q81" s="28"/>
    </row>
    <row r="82" spans="1:17" ht="20.100000000000001" customHeight="1">
      <c r="A82" s="238"/>
      <c r="B82" s="69" t="s">
        <v>119</v>
      </c>
      <c r="C82" s="70"/>
      <c r="D82" s="70"/>
      <c r="E82" s="70"/>
      <c r="F82" s="70"/>
      <c r="G82" s="70"/>
      <c r="H82" s="87"/>
      <c r="I82" s="70"/>
      <c r="J82" s="70"/>
      <c r="K82" s="70"/>
      <c r="L82" s="70"/>
      <c r="M82" s="70"/>
      <c r="N82" s="70"/>
      <c r="O82" s="71"/>
      <c r="P82" s="16"/>
      <c r="Q82" s="28"/>
    </row>
    <row r="83" spans="1:17" ht="20.100000000000001" customHeight="1">
      <c r="A83" s="238"/>
      <c r="B83" s="216"/>
      <c r="C83" s="217"/>
      <c r="D83" s="217"/>
      <c r="E83" s="218"/>
      <c r="F83" s="219"/>
      <c r="G83" s="220"/>
      <c r="H83" s="221"/>
      <c r="I83" s="220"/>
      <c r="J83" s="207"/>
      <c r="K83" s="222"/>
      <c r="L83" s="220"/>
      <c r="M83" s="207"/>
      <c r="N83" s="220"/>
      <c r="O83" s="210"/>
      <c r="P83" s="16"/>
      <c r="Q83" s="28"/>
    </row>
    <row r="84" spans="1:17" ht="15" customHeight="1">
      <c r="A84" s="238"/>
      <c r="B84" s="92"/>
      <c r="C84" s="61" t="s">
        <v>337</v>
      </c>
      <c r="D84" s="62"/>
      <c r="E84" s="63"/>
      <c r="F84" s="60" t="s">
        <v>219</v>
      </c>
      <c r="G84" s="245" t="str">
        <f>G$22</f>
        <v>Amount in thousand EUR</v>
      </c>
      <c r="H84" s="38"/>
      <c r="I84" s="44" t="str">
        <f>I$22</f>
        <v>Checks</v>
      </c>
      <c r="J84" s="16"/>
      <c r="K84" s="44" t="str">
        <f>K$22</f>
        <v>Remarks</v>
      </c>
      <c r="L84" s="44" t="str">
        <f>L$22</f>
        <v>Comments</v>
      </c>
      <c r="M84" s="16"/>
      <c r="N84" s="44" t="str">
        <f>N$22</f>
        <v>Supervisor Comments</v>
      </c>
      <c r="O84" s="91"/>
      <c r="P84" s="16"/>
      <c r="Q84" s="28"/>
    </row>
    <row r="85" spans="1:17" ht="15" customHeight="1">
      <c r="A85" s="238"/>
      <c r="B85" s="92"/>
      <c r="C85" s="64" t="s">
        <v>406</v>
      </c>
      <c r="D85" s="65"/>
      <c r="E85" s="66"/>
      <c r="F85" s="230">
        <v>1061</v>
      </c>
      <c r="G85" s="271">
        <v>38444044</v>
      </c>
      <c r="H85" s="38" t="s">
        <v>120</v>
      </c>
      <c r="I85" s="57" t="str">
        <f>IF(ISTEXT(G85),"No text please",IF(G85&lt;0,"No negatives please",IF(ISBLANK(G85),"Please enter a value",IF(AND(G85=0,ISERROR(FIND("zero",K85))),"Please confirm zero",IF(AND(G85&lt;&gt;0,K85="Confirmed zero"),"Value not zero"," ")))))</f>
        <v xml:space="preserve"> </v>
      </c>
      <c r="J85" s="16"/>
      <c r="K85" s="47"/>
      <c r="L85" s="241"/>
      <c r="M85" s="16"/>
      <c r="N85" s="242"/>
      <c r="O85" s="91"/>
      <c r="P85" s="16"/>
      <c r="Q85" s="28"/>
    </row>
    <row r="86" spans="1:17" ht="15" customHeight="1">
      <c r="A86" s="238"/>
      <c r="B86" s="92"/>
      <c r="C86" s="64" t="s">
        <v>407</v>
      </c>
      <c r="D86" s="65"/>
      <c r="E86" s="66"/>
      <c r="F86" s="230">
        <v>1062</v>
      </c>
      <c r="G86" s="271">
        <v>10079684</v>
      </c>
      <c r="H86" s="38" t="s">
        <v>121</v>
      </c>
      <c r="I86" s="57" t="str">
        <f t="shared" ref="I86:I96" si="1">IF(ISTEXT(G86),"No text please",IF(G86&lt;0,"No negatives please",IF(ISBLANK(G86),"Please enter a value",IF(AND(G86=0,ISERROR(FIND("zero",K86))),"Please confirm zero",IF(AND(G86&lt;&gt;0,K86="Confirmed zero"),"Value not zero"," ")))))</f>
        <v xml:space="preserve"> </v>
      </c>
      <c r="J86" s="16"/>
      <c r="K86" s="47"/>
      <c r="L86" s="241"/>
      <c r="M86" s="16"/>
      <c r="N86" s="242"/>
      <c r="O86" s="91"/>
      <c r="P86" s="16"/>
      <c r="Q86" s="28"/>
    </row>
    <row r="87" spans="1:17" ht="15" customHeight="1">
      <c r="A87" s="238"/>
      <c r="B87" s="92"/>
      <c r="C87" s="64" t="s">
        <v>408</v>
      </c>
      <c r="D87" s="65"/>
      <c r="E87" s="66"/>
      <c r="F87" s="230">
        <v>1063</v>
      </c>
      <c r="G87" s="271">
        <v>44406750</v>
      </c>
      <c r="H87" s="38" t="s">
        <v>122</v>
      </c>
      <c r="I87" s="57" t="str">
        <f t="shared" si="1"/>
        <v xml:space="preserve"> </v>
      </c>
      <c r="J87" s="16"/>
      <c r="K87" s="47"/>
      <c r="L87" s="241"/>
      <c r="M87" s="16"/>
      <c r="N87" s="242"/>
      <c r="O87" s="91"/>
      <c r="P87" s="16"/>
      <c r="Q87" s="28"/>
    </row>
    <row r="88" spans="1:17" ht="15" customHeight="1">
      <c r="A88" s="238"/>
      <c r="B88" s="92"/>
      <c r="C88" s="64" t="s">
        <v>409</v>
      </c>
      <c r="D88" s="65"/>
      <c r="E88" s="66"/>
      <c r="F88" s="230">
        <v>1064</v>
      </c>
      <c r="G88" s="271">
        <v>51933382</v>
      </c>
      <c r="H88" s="38" t="s">
        <v>123</v>
      </c>
      <c r="I88" s="57" t="str">
        <f t="shared" si="1"/>
        <v xml:space="preserve"> </v>
      </c>
      <c r="J88" s="16"/>
      <c r="K88" s="47"/>
      <c r="L88" s="241"/>
      <c r="M88" s="16"/>
      <c r="N88" s="242"/>
      <c r="O88" s="91"/>
      <c r="P88" s="16"/>
      <c r="Q88" s="28"/>
    </row>
    <row r="89" spans="1:17" ht="15" customHeight="1">
      <c r="A89" s="238"/>
      <c r="B89" s="92"/>
      <c r="C89" s="64" t="s">
        <v>410</v>
      </c>
      <c r="D89" s="65"/>
      <c r="E89" s="66"/>
      <c r="F89" s="230">
        <v>1065</v>
      </c>
      <c r="G89" s="271">
        <v>14353810</v>
      </c>
      <c r="H89" s="38" t="s">
        <v>124</v>
      </c>
      <c r="I89" s="57" t="str">
        <f t="shared" si="1"/>
        <v xml:space="preserve"> </v>
      </c>
      <c r="J89" s="16"/>
      <c r="K89" s="47"/>
      <c r="L89" s="241"/>
      <c r="M89" s="16"/>
      <c r="N89" s="242"/>
      <c r="O89" s="91"/>
      <c r="P89" s="16"/>
      <c r="Q89" s="28"/>
    </row>
    <row r="90" spans="1:17" ht="15" customHeight="1">
      <c r="A90" s="238"/>
      <c r="B90" s="92"/>
      <c r="C90" s="64" t="s">
        <v>411</v>
      </c>
      <c r="D90" s="65"/>
      <c r="E90" s="66"/>
      <c r="F90" s="230">
        <v>1066</v>
      </c>
      <c r="G90" s="271">
        <v>2082829926</v>
      </c>
      <c r="H90" s="38" t="s">
        <v>125</v>
      </c>
      <c r="I90" s="57" t="str">
        <f t="shared" si="1"/>
        <v xml:space="preserve"> </v>
      </c>
      <c r="J90" s="16"/>
      <c r="K90" s="47"/>
      <c r="L90" s="241"/>
      <c r="M90" s="16"/>
      <c r="N90" s="242"/>
      <c r="O90" s="91"/>
      <c r="P90" s="16"/>
      <c r="Q90" s="28"/>
    </row>
    <row r="91" spans="1:17" ht="15" customHeight="1">
      <c r="A91" s="238"/>
      <c r="B91" s="92"/>
      <c r="C91" s="64" t="s">
        <v>412</v>
      </c>
      <c r="D91" s="65"/>
      <c r="E91" s="66"/>
      <c r="F91" s="230">
        <v>1067</v>
      </c>
      <c r="G91" s="271">
        <v>201814139</v>
      </c>
      <c r="H91" s="38" t="s">
        <v>126</v>
      </c>
      <c r="I91" s="57" t="str">
        <f t="shared" si="1"/>
        <v xml:space="preserve"> </v>
      </c>
      <c r="J91" s="16"/>
      <c r="K91" s="47"/>
      <c r="L91" s="241"/>
      <c r="M91" s="16"/>
      <c r="N91" s="242"/>
      <c r="O91" s="91"/>
      <c r="P91" s="16"/>
      <c r="Q91" s="28"/>
    </row>
    <row r="92" spans="1:17" ht="15" customHeight="1">
      <c r="A92" s="238"/>
      <c r="B92" s="92"/>
      <c r="C92" s="64" t="s">
        <v>413</v>
      </c>
      <c r="D92" s="65"/>
      <c r="E92" s="66"/>
      <c r="F92" s="230">
        <v>1068</v>
      </c>
      <c r="G92" s="271">
        <v>39122575</v>
      </c>
      <c r="H92" s="38" t="s">
        <v>127</v>
      </c>
      <c r="I92" s="57" t="str">
        <f t="shared" si="1"/>
        <v xml:space="preserve"> </v>
      </c>
      <c r="J92" s="16"/>
      <c r="K92" s="47"/>
      <c r="L92" s="241"/>
      <c r="M92" s="16"/>
      <c r="N92" s="242"/>
      <c r="O92" s="91"/>
      <c r="P92" s="16"/>
      <c r="Q92" s="28"/>
    </row>
    <row r="93" spans="1:17" ht="15" customHeight="1">
      <c r="A93" s="238"/>
      <c r="B93" s="92"/>
      <c r="C93" s="64" t="s">
        <v>414</v>
      </c>
      <c r="D93" s="65"/>
      <c r="E93" s="66"/>
      <c r="F93" s="230">
        <v>1069</v>
      </c>
      <c r="G93" s="271">
        <v>987821</v>
      </c>
      <c r="H93" s="38" t="s">
        <v>128</v>
      </c>
      <c r="I93" s="57" t="str">
        <f t="shared" si="1"/>
        <v xml:space="preserve"> </v>
      </c>
      <c r="J93" s="16"/>
      <c r="K93" s="47"/>
      <c r="L93" s="241"/>
      <c r="M93" s="16"/>
      <c r="N93" s="242"/>
      <c r="O93" s="91"/>
      <c r="P93" s="16"/>
      <c r="Q93" s="28"/>
    </row>
    <row r="94" spans="1:17" ht="15" customHeight="1">
      <c r="A94" s="238"/>
      <c r="B94" s="92"/>
      <c r="C94" s="64" t="s">
        <v>415</v>
      </c>
      <c r="D94" s="65"/>
      <c r="E94" s="66"/>
      <c r="F94" s="230">
        <v>1070</v>
      </c>
      <c r="G94" s="271">
        <v>79188871</v>
      </c>
      <c r="H94" s="38" t="s">
        <v>129</v>
      </c>
      <c r="I94" s="57" t="str">
        <f t="shared" si="1"/>
        <v xml:space="preserve"> </v>
      </c>
      <c r="J94" s="16"/>
      <c r="K94" s="47"/>
      <c r="L94" s="241"/>
      <c r="M94" s="16"/>
      <c r="N94" s="242"/>
      <c r="O94" s="91"/>
      <c r="P94" s="16"/>
      <c r="Q94" s="28"/>
    </row>
    <row r="95" spans="1:17" ht="15" customHeight="1">
      <c r="A95" s="238"/>
      <c r="B95" s="92"/>
      <c r="C95" s="64" t="s">
        <v>416</v>
      </c>
      <c r="D95" s="65"/>
      <c r="E95" s="66"/>
      <c r="F95" s="230">
        <v>1071</v>
      </c>
      <c r="G95" s="271">
        <v>13679517</v>
      </c>
      <c r="H95" s="38" t="s">
        <v>130</v>
      </c>
      <c r="I95" s="57" t="str">
        <f t="shared" si="1"/>
        <v xml:space="preserve"> </v>
      </c>
      <c r="J95" s="16"/>
      <c r="K95" s="47"/>
      <c r="L95" s="241"/>
      <c r="M95" s="16"/>
      <c r="N95" s="242"/>
      <c r="O95" s="91"/>
      <c r="P95" s="16"/>
      <c r="Q95" s="28"/>
    </row>
    <row r="96" spans="1:17" ht="15" customHeight="1">
      <c r="A96" s="238"/>
      <c r="B96" s="92"/>
      <c r="C96" s="64" t="s">
        <v>417</v>
      </c>
      <c r="D96" s="65"/>
      <c r="E96" s="66"/>
      <c r="F96" s="230">
        <v>1072</v>
      </c>
      <c r="G96" s="271">
        <v>1373892514</v>
      </c>
      <c r="H96" s="38" t="s">
        <v>131</v>
      </c>
      <c r="I96" s="57" t="str">
        <f t="shared" si="1"/>
        <v xml:space="preserve"> </v>
      </c>
      <c r="J96" s="16"/>
      <c r="K96" s="47"/>
      <c r="L96" s="241"/>
      <c r="M96" s="16"/>
      <c r="N96" s="242"/>
      <c r="O96" s="91"/>
      <c r="P96" s="16"/>
      <c r="Q96" s="28"/>
    </row>
    <row r="97" spans="1:17" ht="15" customHeight="1">
      <c r="A97" s="238"/>
      <c r="B97" s="92"/>
      <c r="C97" s="251" t="s">
        <v>258</v>
      </c>
      <c r="D97" s="255"/>
      <c r="E97" s="256"/>
      <c r="F97" s="230">
        <v>1073</v>
      </c>
      <c r="G97" s="232">
        <f>IF(COUNTIF(G85:G96,"= ")+COUNTIF(I85:I96,"&lt;&gt; ")=0,SUM(G85:G96)," ")</f>
        <v>3950733033</v>
      </c>
      <c r="H97" s="38" t="s">
        <v>257</v>
      </c>
      <c r="I97" s="16"/>
      <c r="J97" s="16"/>
      <c r="K97" s="16"/>
      <c r="L97" s="16"/>
      <c r="M97" s="16"/>
      <c r="N97" s="16"/>
      <c r="O97" s="91"/>
      <c r="P97" s="16"/>
      <c r="Q97" s="28"/>
    </row>
    <row r="98" spans="1:17" ht="20.100000000000001" customHeight="1">
      <c r="A98" s="238"/>
      <c r="B98" s="97"/>
      <c r="C98" s="33"/>
      <c r="D98" s="33"/>
      <c r="E98" s="23"/>
      <c r="F98" s="45"/>
      <c r="G98" s="24"/>
      <c r="H98" s="32"/>
      <c r="I98" s="24"/>
      <c r="J98" s="16"/>
      <c r="K98" s="15"/>
      <c r="L98" s="24"/>
      <c r="M98" s="16"/>
      <c r="N98" s="24"/>
      <c r="O98" s="91"/>
      <c r="P98" s="16"/>
      <c r="Q98" s="28"/>
    </row>
    <row r="99" spans="1:17" ht="20.100000000000001" customHeight="1">
      <c r="A99" s="238"/>
      <c r="B99" s="97"/>
      <c r="C99" s="33"/>
      <c r="D99" s="33"/>
      <c r="E99" s="23"/>
      <c r="F99" s="45"/>
      <c r="G99" s="24"/>
      <c r="H99" s="32"/>
      <c r="I99" s="24"/>
      <c r="J99" s="16"/>
      <c r="K99" s="15"/>
      <c r="L99" s="24"/>
      <c r="M99" s="16"/>
      <c r="N99" s="24"/>
      <c r="O99" s="91"/>
      <c r="P99" s="16"/>
      <c r="Q99" s="28"/>
    </row>
    <row r="100" spans="1:17" ht="15" customHeight="1">
      <c r="A100" s="238"/>
      <c r="B100" s="90"/>
      <c r="C100" s="79" t="s">
        <v>338</v>
      </c>
      <c r="D100" s="85"/>
      <c r="E100" s="86"/>
      <c r="F100" s="77" t="s">
        <v>219</v>
      </c>
      <c r="G100" s="40" t="str">
        <f>G$22</f>
        <v>Amount in thousand EUR</v>
      </c>
      <c r="H100" s="38"/>
      <c r="I100" s="44" t="str">
        <f>I$22</f>
        <v>Checks</v>
      </c>
      <c r="J100" s="16"/>
      <c r="K100" s="44" t="str">
        <f>K$22</f>
        <v>Remarks</v>
      </c>
      <c r="L100" s="44" t="str">
        <f>L$22</f>
        <v>Comments</v>
      </c>
      <c r="M100" s="16"/>
      <c r="N100" s="44" t="str">
        <f>N$22</f>
        <v>Supervisor Comments</v>
      </c>
      <c r="O100" s="91"/>
      <c r="P100" s="16"/>
      <c r="Q100" s="28"/>
    </row>
    <row r="101" spans="1:17" ht="15" customHeight="1">
      <c r="A101" s="238"/>
      <c r="B101" s="98"/>
      <c r="C101" s="233" t="s">
        <v>253</v>
      </c>
      <c r="D101" s="237"/>
      <c r="E101" s="76"/>
      <c r="F101" s="230">
        <v>1074</v>
      </c>
      <c r="G101" s="53">
        <v>191709741</v>
      </c>
      <c r="H101" s="38" t="s">
        <v>259</v>
      </c>
      <c r="I101" s="57" t="str">
        <f>IF(ISTEXT(G101),"No text please",IF(G101&lt;0,"No negatives please",IF(ISBLANK(G101),"Please enter a value",IF(AND(G101=0,ISERROR(FIND("zero",K101))),"Please confirm zero",IF(AND(G101&lt;&gt;0,K101="Confirmed zero"),"Value not zero"," ")))))</f>
        <v xml:space="preserve"> </v>
      </c>
      <c r="J101" s="16"/>
      <c r="K101" s="47"/>
      <c r="L101" s="241"/>
      <c r="M101" s="16"/>
      <c r="N101" s="242"/>
      <c r="O101" s="91"/>
      <c r="P101" s="16"/>
      <c r="Q101" s="28"/>
    </row>
    <row r="102" spans="1:17" ht="30" customHeight="1">
      <c r="A102" s="238"/>
      <c r="B102" s="97"/>
      <c r="C102" s="33"/>
      <c r="D102" s="33"/>
      <c r="E102" s="23"/>
      <c r="F102" s="45"/>
      <c r="G102" s="24"/>
      <c r="H102" s="32"/>
      <c r="I102" s="24"/>
      <c r="J102" s="16"/>
      <c r="K102" s="15"/>
      <c r="L102" s="24"/>
      <c r="M102" s="16"/>
      <c r="N102" s="24"/>
      <c r="O102" s="91"/>
      <c r="P102" s="16"/>
      <c r="Q102" s="28"/>
    </row>
    <row r="103" spans="1:17" ht="15" customHeight="1">
      <c r="A103" s="238"/>
      <c r="B103" s="90"/>
      <c r="C103" s="61" t="s">
        <v>339</v>
      </c>
      <c r="D103" s="62"/>
      <c r="E103" s="63"/>
      <c r="F103" s="77" t="s">
        <v>219</v>
      </c>
      <c r="G103" s="40" t="str">
        <f>G$22</f>
        <v>Amount in thousand EUR</v>
      </c>
      <c r="H103" s="38"/>
      <c r="I103" s="44" t="str">
        <f>I$22</f>
        <v>Checks</v>
      </c>
      <c r="J103" s="16"/>
      <c r="K103" s="44" t="str">
        <f>K$22</f>
        <v>Remarks</v>
      </c>
      <c r="L103" s="44" t="str">
        <f>L$22</f>
        <v>Comments</v>
      </c>
      <c r="M103" s="16"/>
      <c r="N103" s="44" t="str">
        <f>N$22</f>
        <v>Supervisor Comments</v>
      </c>
      <c r="O103" s="91"/>
      <c r="P103" s="16"/>
      <c r="Q103" s="28"/>
    </row>
    <row r="104" spans="1:17" ht="15" customHeight="1">
      <c r="A104" s="238"/>
      <c r="B104" s="92"/>
      <c r="C104" s="64" t="s">
        <v>138</v>
      </c>
      <c r="D104" s="65"/>
      <c r="E104" s="66"/>
      <c r="F104" s="54">
        <v>1075</v>
      </c>
      <c r="G104" s="53">
        <v>1404292.7272727273</v>
      </c>
      <c r="H104" s="38" t="s">
        <v>140</v>
      </c>
      <c r="I104" s="57" t="str">
        <f>IF(ISTEXT(G104),"No text please",IF(G104&lt;0,"No negatives please",IF(ISBLANK(G104),"Please enter a value",IF(AND(G104=0,ISERROR(FIND("zero",K104))),"Please confirm zero",IF(AND(G104&lt;&gt;0,K104="Confirmed zero"),"Value not zero"," ")))))</f>
        <v xml:space="preserve"> </v>
      </c>
      <c r="J104" s="16"/>
      <c r="K104" s="47"/>
      <c r="L104" s="241"/>
      <c r="M104" s="16"/>
      <c r="N104" s="242"/>
      <c r="O104" s="91"/>
      <c r="P104" s="16"/>
      <c r="Q104" s="28"/>
    </row>
    <row r="105" spans="1:17" ht="15" customHeight="1">
      <c r="A105" s="238"/>
      <c r="B105" s="92"/>
      <c r="C105" s="118" t="s">
        <v>139</v>
      </c>
      <c r="D105" s="119"/>
      <c r="E105" s="66"/>
      <c r="F105" s="230">
        <v>1076</v>
      </c>
      <c r="G105" s="271">
        <v>3565043</v>
      </c>
      <c r="H105" s="38" t="s">
        <v>141</v>
      </c>
      <c r="I105" s="57" t="str">
        <f>IF(ISTEXT(G105),"No text please",IF(G105&lt;0,"No negatives please",IF(ISBLANK(G105),"Please enter a value",IF(AND(G105=0,ISERROR(FIND("zero",K105))),"Please confirm zero",IF(AND(G105&lt;&gt;0,K105="Confirmed zero"),"Value not zero"," ")))))</f>
        <v xml:space="preserve"> </v>
      </c>
      <c r="J105" s="16"/>
      <c r="K105" s="47"/>
      <c r="L105" s="241"/>
      <c r="M105" s="16"/>
      <c r="N105" s="242"/>
      <c r="O105" s="91"/>
      <c r="P105" s="16"/>
      <c r="Q105" s="28"/>
    </row>
    <row r="106" spans="1:17" ht="15" customHeight="1">
      <c r="A106" s="238"/>
      <c r="B106" s="92"/>
      <c r="C106" s="233" t="s">
        <v>261</v>
      </c>
      <c r="D106" s="234"/>
      <c r="E106" s="76"/>
      <c r="F106" s="230">
        <v>1077</v>
      </c>
      <c r="G106" s="55">
        <f>IF(COUNTIF(I104:I105,"&lt;&gt; ")=0,SUM(G104:G105),"")</f>
        <v>4969335.7272727275</v>
      </c>
      <c r="H106" s="38" t="s">
        <v>260</v>
      </c>
      <c r="I106" s="16"/>
      <c r="J106" s="16"/>
      <c r="K106" s="16"/>
      <c r="L106" s="16"/>
      <c r="M106" s="16"/>
      <c r="N106" s="16"/>
      <c r="O106" s="91"/>
      <c r="P106" s="16"/>
      <c r="Q106" s="28"/>
    </row>
    <row r="107" spans="1:17" ht="20.100000000000001" customHeight="1">
      <c r="A107" s="238"/>
      <c r="B107" s="200"/>
      <c r="C107" s="201"/>
      <c r="D107" s="201"/>
      <c r="E107" s="123"/>
      <c r="F107" s="202"/>
      <c r="G107" s="123"/>
      <c r="H107" s="203"/>
      <c r="I107" s="123"/>
      <c r="J107" s="123"/>
      <c r="K107" s="123"/>
      <c r="L107" s="123"/>
      <c r="M107" s="123"/>
      <c r="N107" s="123"/>
      <c r="O107" s="204"/>
      <c r="P107" s="16"/>
      <c r="Q107" s="28"/>
    </row>
    <row r="108" spans="1:17" ht="20.100000000000001" customHeight="1">
      <c r="A108" s="238"/>
      <c r="B108" s="69" t="s">
        <v>142</v>
      </c>
      <c r="C108" s="70"/>
      <c r="D108" s="70"/>
      <c r="E108" s="70"/>
      <c r="F108" s="70"/>
      <c r="G108" s="70"/>
      <c r="H108" s="87"/>
      <c r="I108" s="70"/>
      <c r="J108" s="70"/>
      <c r="K108" s="70"/>
      <c r="L108" s="70"/>
      <c r="M108" s="70"/>
      <c r="N108" s="70"/>
      <c r="O108" s="71"/>
      <c r="P108" s="16"/>
      <c r="Q108" s="28"/>
    </row>
    <row r="109" spans="1:17" ht="20.100000000000001" customHeight="1">
      <c r="A109" s="238"/>
      <c r="B109" s="216"/>
      <c r="C109" s="217"/>
      <c r="D109" s="217"/>
      <c r="E109" s="218"/>
      <c r="F109" s="219"/>
      <c r="G109" s="220"/>
      <c r="H109" s="221"/>
      <c r="I109" s="220"/>
      <c r="J109" s="207"/>
      <c r="K109" s="222"/>
      <c r="L109" s="220"/>
      <c r="M109" s="207"/>
      <c r="N109" s="220"/>
      <c r="O109" s="210"/>
      <c r="P109" s="16"/>
      <c r="Q109" s="28"/>
    </row>
    <row r="110" spans="1:17" ht="15" customHeight="1">
      <c r="A110" s="238"/>
      <c r="B110" s="90"/>
      <c r="C110" s="61" t="s">
        <v>340</v>
      </c>
      <c r="D110" s="62"/>
      <c r="E110" s="72"/>
      <c r="F110" s="77" t="s">
        <v>219</v>
      </c>
      <c r="G110" s="40" t="str">
        <f>G$22</f>
        <v>Amount in thousand EUR</v>
      </c>
      <c r="H110" s="38"/>
      <c r="I110" s="44" t="str">
        <f>I$22</f>
        <v>Checks</v>
      </c>
      <c r="J110" s="16"/>
      <c r="K110" s="44" t="str">
        <f>K$22</f>
        <v>Remarks</v>
      </c>
      <c r="L110" s="44" t="str">
        <f>L$22</f>
        <v>Comments</v>
      </c>
      <c r="M110" s="16"/>
      <c r="N110" s="44" t="str">
        <f>N$22</f>
        <v>Supervisor Comments</v>
      </c>
      <c r="O110" s="91"/>
      <c r="P110" s="16"/>
      <c r="Q110" s="28"/>
    </row>
    <row r="111" spans="1:17" ht="15" customHeight="1">
      <c r="A111" s="238"/>
      <c r="B111" s="99"/>
      <c r="C111" s="64" t="s">
        <v>143</v>
      </c>
      <c r="D111" s="65"/>
      <c r="E111" s="66"/>
      <c r="F111" s="230">
        <v>1078</v>
      </c>
      <c r="G111" s="53">
        <v>763907000</v>
      </c>
      <c r="H111" s="38" t="s">
        <v>145</v>
      </c>
      <c r="I111" s="57" t="str">
        <f>IF(ISTEXT(G111),"No text please",IF(G111&lt;0,"No negatives please",IF(ISBLANK(G111),"Please enter a value",IF(AND(G111=0,ISERROR(FIND("zero",K111))),"Please confirm zero",IF(AND(G111&lt;&gt;0,K111="Confirmed zero"),"Value not zero"," ")))))</f>
        <v xml:space="preserve"> </v>
      </c>
      <c r="J111" s="16"/>
      <c r="K111" s="47"/>
      <c r="L111" s="241"/>
      <c r="M111" s="16"/>
      <c r="N111" s="242"/>
      <c r="O111" s="91"/>
      <c r="P111" s="16"/>
      <c r="Q111" s="28"/>
    </row>
    <row r="112" spans="1:17" ht="15" customHeight="1">
      <c r="A112" s="238"/>
      <c r="B112" s="99"/>
      <c r="C112" s="118" t="s">
        <v>144</v>
      </c>
      <c r="D112" s="119"/>
      <c r="E112" s="66"/>
      <c r="F112" s="230">
        <v>1079</v>
      </c>
      <c r="G112" s="53">
        <v>485042000</v>
      </c>
      <c r="H112" s="38" t="s">
        <v>146</v>
      </c>
      <c r="I112" s="57" t="str">
        <f>IF(ISTEXT(G112),"No text please",IF(G112&lt;0,"No negatives please",IF(ISBLANK(G112),"Please enter a value",IF(AND(G112=0,ISERROR(FIND("zero",K112))),"Please confirm zero",IF(AND(G112&lt;&gt;0,K112="Confirmed zero"),"Value not zero"," ")))))</f>
        <v xml:space="preserve"> </v>
      </c>
      <c r="J112" s="16"/>
      <c r="K112" s="47"/>
      <c r="L112" s="241"/>
      <c r="M112" s="16"/>
      <c r="N112" s="242"/>
      <c r="O112" s="91"/>
      <c r="P112" s="16"/>
      <c r="Q112" s="28"/>
    </row>
    <row r="113" spans="1:17" ht="15" customHeight="1">
      <c r="A113" s="238"/>
      <c r="B113" s="99"/>
      <c r="C113" s="233" t="s">
        <v>185</v>
      </c>
      <c r="D113" s="234"/>
      <c r="E113" s="76"/>
      <c r="F113" s="230">
        <v>1080</v>
      </c>
      <c r="G113" s="55">
        <f>IF(COUNTIF(I111:I112,"&lt;&gt; ")=0,SUM(G111:G112),"")</f>
        <v>1248949000</v>
      </c>
      <c r="H113" s="38" t="s">
        <v>147</v>
      </c>
      <c r="I113" s="16"/>
      <c r="J113" s="16"/>
      <c r="K113" s="16"/>
      <c r="L113" s="16"/>
      <c r="M113" s="16"/>
      <c r="N113" s="16"/>
      <c r="O113" s="91"/>
      <c r="P113" s="16"/>
      <c r="Q113" s="28"/>
    </row>
    <row r="114" spans="1:17" ht="30" customHeight="1">
      <c r="A114" s="238"/>
      <c r="B114" s="97"/>
      <c r="C114" s="33"/>
      <c r="D114" s="33"/>
      <c r="E114" s="23"/>
      <c r="F114" s="45"/>
      <c r="G114" s="24"/>
      <c r="H114" s="32"/>
      <c r="I114" s="24"/>
      <c r="J114" s="16"/>
      <c r="K114" s="15"/>
      <c r="L114" s="24"/>
      <c r="M114" s="16"/>
      <c r="N114" s="24"/>
      <c r="O114" s="91"/>
      <c r="P114" s="16"/>
      <c r="Q114" s="28"/>
    </row>
    <row r="115" spans="1:17" ht="15" customHeight="1">
      <c r="A115" s="238"/>
      <c r="B115" s="90"/>
      <c r="C115" s="61" t="s">
        <v>341</v>
      </c>
      <c r="D115" s="62"/>
      <c r="E115" s="72"/>
      <c r="F115" s="77" t="s">
        <v>219</v>
      </c>
      <c r="G115" s="40" t="str">
        <f>G$22</f>
        <v>Amount in thousand EUR</v>
      </c>
      <c r="H115" s="38"/>
      <c r="I115" s="44" t="str">
        <f>I$22</f>
        <v>Checks</v>
      </c>
      <c r="J115" s="16"/>
      <c r="K115" s="44" t="str">
        <f>K$22</f>
        <v>Remarks</v>
      </c>
      <c r="L115" s="44" t="str">
        <f>L$22</f>
        <v>Comments</v>
      </c>
      <c r="M115" s="16"/>
      <c r="N115" s="44" t="str">
        <f>N$22</f>
        <v>Supervisor Comments</v>
      </c>
      <c r="O115" s="91"/>
      <c r="P115" s="16"/>
      <c r="Q115" s="28"/>
    </row>
    <row r="116" spans="1:17" ht="15" customHeight="1">
      <c r="A116" s="238"/>
      <c r="B116" s="92"/>
      <c r="C116" s="64" t="s">
        <v>148</v>
      </c>
      <c r="D116" s="65"/>
      <c r="E116" s="66"/>
      <c r="F116" s="230">
        <v>1081</v>
      </c>
      <c r="G116" s="271">
        <v>2455794</v>
      </c>
      <c r="H116" s="38" t="s">
        <v>152</v>
      </c>
      <c r="I116" s="57" t="str">
        <f>IF(ISTEXT(G116),"No text please",IF(G116&lt;0,"No negatives please",IF(ISBLANK(G116),"Please enter a value",IF(AND(G116=0,ISERROR(FIND("zero",K116))),"Please confirm zero",IF(AND(G116&lt;&gt;0,K116="Confirmed zero"),"Value not zero",IF(SUM($G$116:$G$117)&lt;SUM($G$118:$G$119),"10.a. + 10.b. &lt; 10.c. + 10.d.",IF(SUM($G$116:$G$117)&lt;$G$118+$G$119/0.85,"Value underreported?"," ")))))))</f>
        <v xml:space="preserve"> </v>
      </c>
      <c r="J116" s="16"/>
      <c r="K116" s="47"/>
      <c r="L116" s="241"/>
      <c r="M116" s="16"/>
      <c r="N116" s="242"/>
      <c r="O116" s="91"/>
      <c r="P116" s="16"/>
      <c r="Q116" s="28"/>
    </row>
    <row r="117" spans="1:17" ht="15" customHeight="1">
      <c r="A117" s="238"/>
      <c r="B117" s="92"/>
      <c r="C117" s="64" t="s">
        <v>149</v>
      </c>
      <c r="D117" s="65"/>
      <c r="E117" s="66"/>
      <c r="F117" s="230">
        <v>1082</v>
      </c>
      <c r="G117" s="271">
        <v>39636285</v>
      </c>
      <c r="H117" s="38" t="s">
        <v>183</v>
      </c>
      <c r="I117" s="57" t="str">
        <f>IF(ISTEXT(G117),"No text please",IF(G117&lt;0,"No negatives please",IF(ISBLANK(G117),"Please enter a value",IF(AND(G117=0,ISERROR(FIND("zero",K117))),"Please confirm zero",IF(AND(G117&lt;&gt;0,K117="Confirmed zero"),"Value not zero",IF(SUM($G$116:$G$117)&lt;SUM($G$118:$G$119),"10.a. + 10.b. &lt; 10.c. + 10.d.",IF(SUM($G$116:$G$117)&lt;$G$118+$G$119/0.85,"Value underreported?"," ")))))))</f>
        <v xml:space="preserve"> </v>
      </c>
      <c r="J117" s="16"/>
      <c r="K117" s="47"/>
      <c r="L117" s="241"/>
      <c r="M117" s="16"/>
      <c r="N117" s="242"/>
      <c r="O117" s="91"/>
      <c r="P117" s="16"/>
      <c r="Q117" s="28"/>
    </row>
    <row r="118" spans="1:17" ht="15" customHeight="1">
      <c r="A118" s="238"/>
      <c r="B118" s="92"/>
      <c r="C118" s="64" t="s">
        <v>150</v>
      </c>
      <c r="D118" s="65"/>
      <c r="E118" s="66"/>
      <c r="F118" s="230">
        <v>1083</v>
      </c>
      <c r="G118" s="271">
        <v>36594528</v>
      </c>
      <c r="H118" s="38" t="s">
        <v>153</v>
      </c>
      <c r="I118" s="57" t="str">
        <f>IF(ISTEXT(G118),"No text please",IF(G118&lt;0,"No negatives please",IF(ISBLANK(G118),"Please enter a value",IF(AND(G118=0,ISERROR(FIND("zero",K118))),"Please confirm zero",IF(AND(G118&lt;&gt;0,K118="Confirmed zero"),"Value not zero",IF(SUM($G$116:$G$117)&lt;SUM($G$118:$G$119),"10.a. + 10.b. &lt; 10.c. + 10.d."," "))))))</f>
        <v xml:space="preserve"> </v>
      </c>
      <c r="J118" s="16"/>
      <c r="K118" s="47"/>
      <c r="L118" s="241"/>
      <c r="M118" s="16"/>
      <c r="N118" s="242"/>
      <c r="O118" s="91"/>
      <c r="P118" s="28"/>
      <c r="Q118" s="28"/>
    </row>
    <row r="119" spans="1:17" ht="15" customHeight="1">
      <c r="A119" s="238"/>
      <c r="B119" s="92"/>
      <c r="C119" s="118" t="s">
        <v>218</v>
      </c>
      <c r="D119" s="119"/>
      <c r="E119" s="66"/>
      <c r="F119" s="230">
        <v>1084</v>
      </c>
      <c r="G119" s="271">
        <v>4570610</v>
      </c>
      <c r="H119" s="38" t="s">
        <v>154</v>
      </c>
      <c r="I119" s="57" t="str">
        <f>IF(ISTEXT(G119),"No text please",IF(G119&lt;0,"No negatives please",IF(ISBLANK(G119),"Please enter a value",IF(AND(G119=0,ISERROR(FIND("zero",K119))),"Please confirm zero",IF(AND(G119&lt;&gt;0,K119="Confirmed zero"),"Value not zero",IF(SUM($G$116:$G$117)&lt;SUM($G$118:$G$119),"10.a. + 10.b. &lt; 10.c. + 10.d.",IF(SUM($G$116:$G$117)&lt;$G$118+$G$119/0.85,"Haircuts not applied?"," ")))))))</f>
        <v xml:space="preserve"> </v>
      </c>
      <c r="J119" s="16"/>
      <c r="K119" s="47"/>
      <c r="L119" s="241"/>
      <c r="M119" s="16"/>
      <c r="N119" s="242"/>
      <c r="O119" s="91"/>
      <c r="P119" s="28"/>
      <c r="Q119" s="28"/>
    </row>
    <row r="120" spans="1:17" ht="15" customHeight="1">
      <c r="A120" s="238"/>
      <c r="B120" s="92"/>
      <c r="C120" s="233" t="s">
        <v>262</v>
      </c>
      <c r="D120" s="234"/>
      <c r="E120" s="76"/>
      <c r="F120" s="230">
        <v>1085</v>
      </c>
      <c r="G120" s="55">
        <f>IF(COUNTIF(I116:I119,"&lt;&gt; ")=0,MAX(SUM(G116:G117)-SUM(G118:G119),0),"")</f>
        <v>926941</v>
      </c>
      <c r="H120" s="38" t="s">
        <v>263</v>
      </c>
      <c r="I120" s="16"/>
      <c r="J120" s="16"/>
      <c r="K120" s="16"/>
      <c r="L120" s="16"/>
      <c r="M120" s="16"/>
      <c r="N120" s="16"/>
      <c r="O120" s="91"/>
      <c r="P120" s="28"/>
      <c r="Q120" s="28"/>
    </row>
    <row r="121" spans="1:17" ht="30" customHeight="1">
      <c r="A121" s="238"/>
      <c r="B121" s="97"/>
      <c r="C121" s="33"/>
      <c r="D121" s="33"/>
      <c r="E121" s="23"/>
      <c r="F121" s="45"/>
      <c r="G121" s="24"/>
      <c r="H121" s="32"/>
      <c r="I121" s="24"/>
      <c r="J121" s="16"/>
      <c r="K121" s="15"/>
      <c r="L121" s="24"/>
      <c r="M121" s="16"/>
      <c r="N121" s="24"/>
      <c r="O121" s="91"/>
      <c r="P121" s="16"/>
      <c r="Q121" s="28"/>
    </row>
    <row r="122" spans="1:17" ht="15" customHeight="1">
      <c r="A122" s="238"/>
      <c r="B122" s="90"/>
      <c r="C122" s="61" t="s">
        <v>342</v>
      </c>
      <c r="D122" s="62"/>
      <c r="E122" s="63"/>
      <c r="F122" s="77" t="s">
        <v>219</v>
      </c>
      <c r="G122" s="40" t="str">
        <f>G$22</f>
        <v>Amount in thousand EUR</v>
      </c>
      <c r="H122" s="38"/>
      <c r="I122" s="44" t="str">
        <f>I$22</f>
        <v>Checks</v>
      </c>
      <c r="J122" s="16"/>
      <c r="K122" s="44" t="str">
        <f>K$22</f>
        <v>Remarks</v>
      </c>
      <c r="L122" s="44" t="str">
        <f>L$22</f>
        <v>Comments</v>
      </c>
      <c r="M122" s="16"/>
      <c r="N122" s="44" t="str">
        <f>N$22</f>
        <v>Supervisor Comments</v>
      </c>
      <c r="O122" s="91"/>
      <c r="P122" s="16"/>
      <c r="Q122" s="28"/>
    </row>
    <row r="123" spans="1:17" ht="15" customHeight="1">
      <c r="A123" s="238"/>
      <c r="B123" s="92"/>
      <c r="C123" s="233" t="s">
        <v>521</v>
      </c>
      <c r="D123" s="237"/>
      <c r="E123" s="76"/>
      <c r="F123" s="230">
        <v>1086</v>
      </c>
      <c r="G123" s="271">
        <v>1988576</v>
      </c>
      <c r="H123" s="38" t="s">
        <v>155</v>
      </c>
      <c r="I123" s="57" t="str">
        <f>IF(ISTEXT(G123),"No text please",IF(G123&lt;0,"No negatives please",IF(ISBLANK(G123),"Please enter a value",IF(AND(G123=0,ISERROR(FIND("zero",K123))),"Please confirm zero",IF(AND(G123&lt;&gt;0,K123="Confirmed zero"),"Value not zero"," ")))))</f>
        <v xml:space="preserve"> </v>
      </c>
      <c r="J123" s="16"/>
      <c r="K123" s="47"/>
      <c r="L123" s="241"/>
      <c r="M123" s="16"/>
      <c r="N123" s="242"/>
      <c r="O123" s="91"/>
      <c r="P123" s="28"/>
      <c r="Q123" s="28"/>
    </row>
    <row r="124" spans="1:17" ht="20.100000000000001" customHeight="1">
      <c r="A124" s="238"/>
      <c r="B124" s="200"/>
      <c r="C124" s="201"/>
      <c r="D124" s="201"/>
      <c r="E124" s="123"/>
      <c r="F124" s="202"/>
      <c r="G124" s="123"/>
      <c r="H124" s="203"/>
      <c r="I124" s="123"/>
      <c r="J124" s="123"/>
      <c r="K124" s="123"/>
      <c r="L124" s="123"/>
      <c r="M124" s="123"/>
      <c r="N124" s="123"/>
      <c r="O124" s="204"/>
      <c r="P124" s="16"/>
      <c r="Q124" s="28"/>
    </row>
    <row r="125" spans="1:17" ht="20.100000000000001" customHeight="1">
      <c r="A125" s="238"/>
      <c r="B125" s="69" t="s">
        <v>156</v>
      </c>
      <c r="C125" s="70"/>
      <c r="D125" s="70"/>
      <c r="E125" s="70"/>
      <c r="F125" s="70"/>
      <c r="G125" s="70"/>
      <c r="H125" s="87"/>
      <c r="I125" s="70"/>
      <c r="J125" s="70"/>
      <c r="K125" s="70"/>
      <c r="L125" s="70"/>
      <c r="M125" s="70"/>
      <c r="N125" s="70"/>
      <c r="O125" s="71"/>
      <c r="P125" s="28"/>
      <c r="Q125" s="28"/>
    </row>
    <row r="126" spans="1:17" ht="20.100000000000001" customHeight="1">
      <c r="A126" s="238"/>
      <c r="B126" s="216"/>
      <c r="C126" s="217"/>
      <c r="D126" s="217"/>
      <c r="E126" s="218"/>
      <c r="F126" s="219"/>
      <c r="G126" s="220"/>
      <c r="H126" s="221"/>
      <c r="I126" s="220"/>
      <c r="J126" s="207"/>
      <c r="K126" s="222"/>
      <c r="L126" s="220"/>
      <c r="M126" s="207"/>
      <c r="N126" s="220"/>
      <c r="O126" s="210"/>
      <c r="P126" s="16"/>
      <c r="Q126" s="28"/>
    </row>
    <row r="127" spans="1:17" ht="15" customHeight="1">
      <c r="A127" s="238"/>
      <c r="B127" s="90"/>
      <c r="C127" s="61" t="s">
        <v>343</v>
      </c>
      <c r="D127" s="62"/>
      <c r="E127" s="63"/>
      <c r="F127" s="77" t="s">
        <v>219</v>
      </c>
      <c r="G127" s="40" t="str">
        <f>G$22</f>
        <v>Amount in thousand EUR</v>
      </c>
      <c r="H127" s="38"/>
      <c r="I127" s="44" t="str">
        <f>I$22</f>
        <v>Checks</v>
      </c>
      <c r="J127" s="16"/>
      <c r="K127" s="44" t="str">
        <f>K$22</f>
        <v>Remarks</v>
      </c>
      <c r="L127" s="44" t="str">
        <f>L$22</f>
        <v>Comments</v>
      </c>
      <c r="M127" s="16"/>
      <c r="N127" s="44" t="str">
        <f>N$22</f>
        <v>Supervisor Comments</v>
      </c>
      <c r="O127" s="91"/>
      <c r="P127" s="16"/>
      <c r="Q127" s="28"/>
    </row>
    <row r="128" spans="1:17" ht="15" customHeight="1">
      <c r="A128" s="238"/>
      <c r="B128" s="92"/>
      <c r="C128" s="233" t="s">
        <v>357</v>
      </c>
      <c r="D128" s="237"/>
      <c r="E128" s="76"/>
      <c r="F128" s="230">
        <v>1087</v>
      </c>
      <c r="G128" s="271">
        <v>112247683</v>
      </c>
      <c r="H128" s="38" t="s">
        <v>268</v>
      </c>
      <c r="I128" s="57" t="str">
        <f>IF(ISTEXT(G128),"No text please",IF(G128&lt;0,"No negatives please",IF(ISBLANK(G128),"Please enter a value",IF(AND(G128=0,ISERROR(FIND("zero",K128))),"Please confirm zero",IF(AND(G128&lt;&gt;0,K128="Confirmed zero"),"Value not zero"," ")))))</f>
        <v xml:space="preserve"> </v>
      </c>
      <c r="J128" s="16"/>
      <c r="K128" s="47"/>
      <c r="L128" s="241"/>
      <c r="M128" s="16"/>
      <c r="N128" s="242"/>
      <c r="O128" s="91"/>
      <c r="P128" s="16"/>
      <c r="Q128" s="28"/>
    </row>
    <row r="129" spans="1:17" ht="30" customHeight="1">
      <c r="A129" s="238"/>
      <c r="B129" s="97"/>
      <c r="C129" s="33"/>
      <c r="D129" s="33"/>
      <c r="E129" s="23"/>
      <c r="F129" s="45"/>
      <c r="G129" s="24"/>
      <c r="H129" s="32"/>
      <c r="I129" s="24"/>
      <c r="J129" s="16"/>
      <c r="K129" s="15"/>
      <c r="L129" s="24"/>
      <c r="M129" s="16"/>
      <c r="N129" s="24"/>
      <c r="O129" s="91"/>
      <c r="P129" s="16"/>
      <c r="Q129" s="28"/>
    </row>
    <row r="130" spans="1:17" ht="15" customHeight="1">
      <c r="A130" s="238"/>
      <c r="B130" s="90"/>
      <c r="C130" s="61" t="s">
        <v>344</v>
      </c>
      <c r="D130" s="62"/>
      <c r="E130" s="63"/>
      <c r="F130" s="84" t="s">
        <v>219</v>
      </c>
      <c r="G130" s="40" t="str">
        <f>G$22</f>
        <v>Amount in thousand EUR</v>
      </c>
      <c r="H130" s="38"/>
      <c r="I130" s="44" t="str">
        <f>I$22</f>
        <v>Checks</v>
      </c>
      <c r="J130" s="16"/>
      <c r="K130" s="44" t="str">
        <f>K$22</f>
        <v>Remarks</v>
      </c>
      <c r="L130" s="44" t="str">
        <f>L$22</f>
        <v>Comments</v>
      </c>
      <c r="M130" s="16"/>
      <c r="N130" s="44" t="str">
        <f>N$22</f>
        <v>Supervisor Comments</v>
      </c>
      <c r="O130" s="91"/>
      <c r="P130" s="16"/>
      <c r="Q130" s="28"/>
    </row>
    <row r="131" spans="1:17" ht="15" customHeight="1">
      <c r="A131" s="238"/>
      <c r="B131" s="92"/>
      <c r="C131" s="64" t="s">
        <v>166</v>
      </c>
      <c r="D131" s="65"/>
      <c r="E131" s="66"/>
      <c r="F131" s="230">
        <v>1088</v>
      </c>
      <c r="G131" s="271">
        <v>78916349</v>
      </c>
      <c r="H131" s="38" t="s">
        <v>157</v>
      </c>
      <c r="I131" s="57" t="str">
        <f>IF(ISTEXT(G131),"No text please",IF(G131&lt;0,"No negatives please",IF(ISBLANK(G131),"Please enter a value",IF(AND(G131=0,ISERROR(FIND("zero",K131))),"Please confirm zero",IF(AND(G131&lt;&gt;0,K131="Confirmed zero"),"Value not zero",IF($G$131&lt;$G$132,"&lt; 13.a.(1)"," "))))))</f>
        <v xml:space="preserve"> </v>
      </c>
      <c r="J131" s="16"/>
      <c r="K131" s="47"/>
      <c r="L131" s="241"/>
      <c r="M131" s="16"/>
      <c r="N131" s="242"/>
      <c r="O131" s="91"/>
      <c r="P131" s="28"/>
      <c r="Q131" s="28"/>
    </row>
    <row r="132" spans="1:17" ht="15" customHeight="1">
      <c r="A132" s="238"/>
      <c r="B132" s="92"/>
      <c r="C132" s="231" t="s">
        <v>182</v>
      </c>
      <c r="D132" s="68"/>
      <c r="E132" s="66"/>
      <c r="F132" s="230">
        <v>1089</v>
      </c>
      <c r="G132" s="53">
        <v>0</v>
      </c>
      <c r="H132" s="38" t="s">
        <v>159</v>
      </c>
      <c r="I132" s="57" t="str">
        <f>IF(ISTEXT(G132),"No text please",IF(G132&lt;0,"No negatives please",IF(ISBLANK(G132),"Please enter a value",IF(AND(G132=0,ISERROR(FIND("zero",K132))),"Please confirm zero",IF(AND(G132&lt;&gt;0,K132="Confirmed zero"),"Value not zero",IF($G$131&lt;$G$132,"&gt; 13.a."," "))))))</f>
        <v xml:space="preserve"> </v>
      </c>
      <c r="J132" s="16"/>
      <c r="K132" s="47" t="s">
        <v>178</v>
      </c>
      <c r="L132" s="241"/>
      <c r="M132" s="16"/>
      <c r="N132" s="242"/>
      <c r="O132" s="91"/>
      <c r="P132" s="28"/>
      <c r="Q132" s="28"/>
    </row>
    <row r="133" spans="1:17" ht="15" customHeight="1">
      <c r="A133" s="238"/>
      <c r="B133" s="92"/>
      <c r="C133" s="64" t="s">
        <v>167</v>
      </c>
      <c r="D133" s="65"/>
      <c r="E133" s="66"/>
      <c r="F133" s="54">
        <v>1090</v>
      </c>
      <c r="G133" s="53">
        <v>42217428</v>
      </c>
      <c r="H133" s="38" t="s">
        <v>158</v>
      </c>
      <c r="I133" s="57" t="str">
        <f>IF(ISTEXT(G133),"No text please",IF(G133&lt;0,"No negatives please",IF(ISBLANK(G133),"Please enter a value",IF(AND(G133=0,ISERROR(FIND("zero",K133))),"Please confirm zero",IF(AND(G133&lt;&gt;0,K133="Confirmed zero"),"Value not zero"," ")))))</f>
        <v xml:space="preserve"> </v>
      </c>
      <c r="J133" s="16"/>
      <c r="K133" s="47"/>
      <c r="L133" s="241"/>
      <c r="M133" s="16"/>
      <c r="N133" s="242"/>
      <c r="O133" s="91"/>
      <c r="P133" s="28"/>
      <c r="Q133" s="28"/>
    </row>
    <row r="134" spans="1:17" ht="15" customHeight="1">
      <c r="A134" s="238"/>
      <c r="B134" s="92"/>
      <c r="C134" s="233" t="s">
        <v>264</v>
      </c>
      <c r="D134" s="234"/>
      <c r="E134" s="76"/>
      <c r="F134" s="230">
        <v>1091</v>
      </c>
      <c r="G134" s="55">
        <f>IF(COUNTIF(I131:I133,"&lt;&gt; ")=0,MAX(G131-G132,0)+G133,"")</f>
        <v>121133777</v>
      </c>
      <c r="H134" s="38" t="s">
        <v>265</v>
      </c>
      <c r="I134" s="16"/>
      <c r="J134" s="16"/>
      <c r="K134" s="16"/>
      <c r="L134" s="16"/>
      <c r="M134" s="16"/>
      <c r="N134" s="16"/>
      <c r="O134" s="91"/>
      <c r="P134" s="28"/>
      <c r="Q134" s="28"/>
    </row>
    <row r="135" spans="1:17" ht="20.100000000000001" customHeight="1">
      <c r="A135" s="238"/>
      <c r="B135" s="200"/>
      <c r="C135" s="201"/>
      <c r="D135" s="201"/>
      <c r="E135" s="123"/>
      <c r="F135" s="202"/>
      <c r="G135" s="123"/>
      <c r="H135" s="203"/>
      <c r="I135" s="123"/>
      <c r="J135" s="123"/>
      <c r="K135" s="123"/>
      <c r="L135" s="123"/>
      <c r="M135" s="123"/>
      <c r="N135" s="123"/>
      <c r="O135" s="204"/>
      <c r="P135" s="16"/>
      <c r="Q135" s="28"/>
    </row>
    <row r="136" spans="1:17" ht="20.100000000000001" customHeight="1">
      <c r="A136" s="238"/>
      <c r="B136" s="69" t="s">
        <v>270</v>
      </c>
      <c r="C136" s="70"/>
      <c r="D136" s="70"/>
      <c r="E136" s="70"/>
      <c r="F136" s="70"/>
      <c r="G136" s="70"/>
      <c r="H136" s="87"/>
      <c r="I136" s="70"/>
      <c r="J136" s="70"/>
      <c r="K136" s="70"/>
      <c r="L136" s="70"/>
      <c r="M136" s="70"/>
      <c r="N136" s="70"/>
      <c r="O136" s="71"/>
      <c r="P136" s="28"/>
      <c r="Q136" s="28"/>
    </row>
    <row r="137" spans="1:17" ht="20.100000000000001" customHeight="1">
      <c r="A137" s="238"/>
      <c r="B137" s="216"/>
      <c r="C137" s="217"/>
      <c r="D137" s="217"/>
      <c r="E137" s="218"/>
      <c r="F137" s="219"/>
      <c r="G137" s="220"/>
      <c r="H137" s="221"/>
      <c r="I137" s="220"/>
      <c r="J137" s="207"/>
      <c r="K137" s="222"/>
      <c r="L137" s="220"/>
      <c r="M137" s="207"/>
      <c r="N137" s="220"/>
      <c r="O137" s="210"/>
      <c r="P137" s="16"/>
      <c r="Q137" s="28"/>
    </row>
    <row r="138" spans="1:17" ht="15" customHeight="1">
      <c r="A138" s="238"/>
      <c r="B138" s="90"/>
      <c r="C138" s="61" t="s">
        <v>345</v>
      </c>
      <c r="D138" s="62"/>
      <c r="E138" s="63"/>
      <c r="F138" s="77" t="s">
        <v>219</v>
      </c>
      <c r="G138" s="40" t="str">
        <f>G$22</f>
        <v>Amount in thousand EUR</v>
      </c>
      <c r="H138" s="38"/>
      <c r="I138" s="44" t="str">
        <f>I$22</f>
        <v>Checks</v>
      </c>
      <c r="J138" s="16"/>
      <c r="K138" s="44" t="str">
        <f>K$22</f>
        <v>Remarks</v>
      </c>
      <c r="L138" s="44" t="str">
        <f>L$22</f>
        <v>Comments</v>
      </c>
      <c r="M138" s="16"/>
      <c r="N138" s="44" t="str">
        <f>N$22</f>
        <v>Supervisor Comments</v>
      </c>
      <c r="O138" s="91"/>
      <c r="P138" s="16"/>
      <c r="Q138" s="28"/>
    </row>
    <row r="139" spans="1:17" ht="15" customHeight="1">
      <c r="A139" s="238"/>
      <c r="B139" s="92"/>
      <c r="C139" s="64" t="s">
        <v>160</v>
      </c>
      <c r="D139" s="65"/>
      <c r="E139" s="66"/>
      <c r="F139" s="230">
        <v>1092</v>
      </c>
      <c r="G139" s="271">
        <v>370350350</v>
      </c>
      <c r="H139" s="38" t="s">
        <v>168</v>
      </c>
      <c r="I139" s="57" t="str">
        <f>IF(ISTEXT(G139),"No text please",IF(G139&lt;0,"No negatives please",IF(ISBLANK(G139),"Please enter a value",IF(AND(G139=0,ISERROR(FIND("zero",K139))),"Please confirm zero",IF(AND(G139&lt;&gt;0,K139="Confirmed zero"),"Value not zero",IF($G$139&lt;$G$140,"&lt; 14.b.",IF(AND($G$70&lt;&gt;"",$G$139&lt;$G$70),"&lt; 4.f."," ")))))))</f>
        <v xml:space="preserve"> </v>
      </c>
      <c r="J139" s="16"/>
      <c r="K139" s="47"/>
      <c r="L139" s="241"/>
      <c r="M139" s="16"/>
      <c r="N139" s="242"/>
      <c r="O139" s="91"/>
      <c r="P139" s="28"/>
      <c r="Q139" s="28"/>
    </row>
    <row r="140" spans="1:17" ht="15" customHeight="1">
      <c r="A140" s="238"/>
      <c r="B140" s="92"/>
      <c r="C140" s="64" t="s">
        <v>161</v>
      </c>
      <c r="D140" s="65"/>
      <c r="E140" s="66"/>
      <c r="F140" s="230">
        <v>1093</v>
      </c>
      <c r="G140" s="271">
        <v>189259431</v>
      </c>
      <c r="H140" s="38" t="s">
        <v>169</v>
      </c>
      <c r="I140" s="57" t="str">
        <f>IF(ISTEXT(G140),"No text please",IF(G140&lt;0,"No negatives please",IF(ISBLANK(G140),"Please enter a value",IF(AND(G140=0,ISERROR(FIND("zero",K140))),"Please confirm zero",IF(AND(G140&lt;&gt;0,K140="Confirmed zero"),"Value not zero",IF($G$139&lt;$G$140,"&gt; 14.a."," "))))))</f>
        <v xml:space="preserve"> </v>
      </c>
      <c r="J140" s="16"/>
      <c r="K140" s="47"/>
      <c r="L140" s="241"/>
      <c r="M140" s="16"/>
      <c r="N140" s="242"/>
      <c r="O140" s="91"/>
      <c r="P140" s="28"/>
      <c r="Q140" s="28"/>
    </row>
    <row r="141" spans="1:17" ht="15" customHeight="1">
      <c r="A141" s="238"/>
      <c r="B141" s="92"/>
      <c r="C141" s="64" t="s">
        <v>186</v>
      </c>
      <c r="D141" s="65"/>
      <c r="E141" s="66"/>
      <c r="F141" s="230">
        <v>1094</v>
      </c>
      <c r="G141" s="83">
        <f>IF(AND(COUNTIF(I139:I140,"&lt;&gt; ")=0,G139&lt;&gt;0),(G139-G140)/G139,"")</f>
        <v>0.48897191267673973</v>
      </c>
      <c r="H141" s="38" t="s">
        <v>170</v>
      </c>
      <c r="I141" s="48"/>
      <c r="J141" s="16"/>
      <c r="K141" s="48"/>
      <c r="L141" s="48"/>
      <c r="M141" s="16"/>
      <c r="N141" s="48"/>
      <c r="O141" s="91"/>
      <c r="P141" s="28"/>
      <c r="Q141" s="28"/>
    </row>
    <row r="142" spans="1:17" ht="15" customHeight="1">
      <c r="A142" s="238"/>
      <c r="B142" s="92"/>
      <c r="C142" s="64" t="s">
        <v>367</v>
      </c>
      <c r="D142" s="65"/>
      <c r="E142" s="66"/>
      <c r="F142" s="230">
        <v>1095</v>
      </c>
      <c r="G142" s="271">
        <v>16060565</v>
      </c>
      <c r="H142" s="38" t="s">
        <v>171</v>
      </c>
      <c r="I142" s="57" t="str">
        <f>IF(ISTEXT(G142),"No text please",IF(ISBLANK(G142),"Please enter a value",IF(AND(G142=0,ISERROR(FIND("zero",K142))),"Please confirm zero",IF(AND(G142&lt;&gt;0,K142="Confirmed zero"),"Value not zero"," "))))</f>
        <v xml:space="preserve"> </v>
      </c>
      <c r="J142" s="16"/>
      <c r="K142" s="47"/>
      <c r="L142" s="241"/>
      <c r="M142" s="16"/>
      <c r="N142" s="242"/>
      <c r="O142" s="91"/>
      <c r="P142" s="28"/>
      <c r="Q142" s="28"/>
    </row>
    <row r="143" spans="1:17" ht="15" customHeight="1">
      <c r="A143" s="238"/>
      <c r="B143" s="92"/>
      <c r="C143" s="64" t="s">
        <v>162</v>
      </c>
      <c r="D143" s="65"/>
      <c r="E143" s="66"/>
      <c r="F143" s="230">
        <v>1096</v>
      </c>
      <c r="G143" s="271">
        <v>9136327</v>
      </c>
      <c r="H143" s="38" t="s">
        <v>172</v>
      </c>
      <c r="I143" s="57" t="str">
        <f>IF(ISTEXT(G143),"No text please",IF(ISBLANK(G143),"Please enter a value",IF(AND(G143=0,ISERROR(FIND("zero",K143))),"Please confirm zero",IF(AND(G143&lt;&gt;0,K143="Confirmed zero"),"Value not zero"," "))))</f>
        <v xml:space="preserve"> </v>
      </c>
      <c r="J143" s="16"/>
      <c r="K143" s="47"/>
      <c r="L143" s="241"/>
      <c r="M143" s="16"/>
      <c r="N143" s="242"/>
      <c r="O143" s="91"/>
      <c r="P143" s="28"/>
      <c r="Q143" s="28"/>
    </row>
    <row r="144" spans="1:17" ht="15" customHeight="1">
      <c r="A144" s="238"/>
      <c r="B144" s="92"/>
      <c r="C144" s="64" t="s">
        <v>368</v>
      </c>
      <c r="D144" s="65"/>
      <c r="E144" s="66"/>
      <c r="F144" s="230">
        <v>1097</v>
      </c>
      <c r="G144" s="271">
        <v>2603259</v>
      </c>
      <c r="H144" s="38" t="s">
        <v>173</v>
      </c>
      <c r="I144" s="57" t="str">
        <f>IF(ISTEXT(G144),"No text please",IF(G144&lt;0,"No negatives please",IF(ISBLANK(G144),"Please enter a value",IF(AND(G144=0,ISERROR(FIND("zero",K144))),"Please confirm zero",IF(AND(G144&lt;&gt;0,K144="Confirmed zero"),"Value not zero"," ")))))</f>
        <v xml:space="preserve"> </v>
      </c>
      <c r="J144" s="16"/>
      <c r="K144" s="47"/>
      <c r="L144" s="241"/>
      <c r="M144" s="16"/>
      <c r="N144" s="242"/>
      <c r="O144" s="91"/>
      <c r="P144" s="28"/>
      <c r="Q144" s="28"/>
    </row>
    <row r="145" spans="1:17" ht="15" customHeight="1">
      <c r="A145" s="238"/>
      <c r="B145" s="92"/>
      <c r="C145" s="64" t="s">
        <v>484</v>
      </c>
      <c r="D145" s="65"/>
      <c r="E145" s="66"/>
      <c r="F145" s="230">
        <v>1098</v>
      </c>
      <c r="G145" s="275">
        <v>33164644</v>
      </c>
      <c r="H145" s="38" t="s">
        <v>174</v>
      </c>
      <c r="I145" s="57" t="str">
        <f>IF(ISTEXT(G145),"No text please",IF(G145&lt;0,"No negatives please",IF(ISBLANK(G145),"Please enter a value",IF(AND(G145=0,ISERROR(FIND("zero",K145))),"Please confirm zero",IF(AND(G145&lt;&gt;0,K145="Confirmed zero"),"Value not zero"," ")))))</f>
        <v xml:space="preserve"> </v>
      </c>
      <c r="J145" s="16"/>
      <c r="K145" s="47"/>
      <c r="L145" s="241"/>
      <c r="M145" s="16"/>
      <c r="N145" s="242"/>
      <c r="O145" s="91"/>
      <c r="P145" s="28"/>
      <c r="Q145" s="28"/>
    </row>
    <row r="146" spans="1:17" ht="15" customHeight="1">
      <c r="A146" s="238"/>
      <c r="B146" s="92"/>
      <c r="C146" s="64" t="s">
        <v>163</v>
      </c>
      <c r="D146" s="65"/>
      <c r="E146" s="66"/>
      <c r="F146" s="230">
        <v>1099</v>
      </c>
      <c r="G146" s="275">
        <v>65317489</v>
      </c>
      <c r="H146" s="38" t="s">
        <v>175</v>
      </c>
      <c r="I146" s="57" t="str">
        <f>IF(ISTEXT(G146),"No text please",IF(G146&lt;0,"No negatives please",IF(ISBLANK(G146),"Please enter a value",IF(AND(G146=0,ISERROR(FIND("zero",K146))),"Please confirm zero",IF(AND(G146&lt;&gt;0,K146="Confirmed zero"),"Value not zero"," ")))))</f>
        <v xml:space="preserve"> </v>
      </c>
      <c r="J146" s="16"/>
      <c r="K146" s="47"/>
      <c r="L146" s="241"/>
      <c r="M146" s="16"/>
      <c r="N146" s="242"/>
      <c r="O146" s="91"/>
      <c r="P146" s="28"/>
      <c r="Q146" s="28"/>
    </row>
    <row r="147" spans="1:17" ht="15" customHeight="1">
      <c r="A147" s="238"/>
      <c r="B147" s="92"/>
      <c r="C147" s="64" t="s">
        <v>164</v>
      </c>
      <c r="D147" s="65"/>
      <c r="E147" s="66"/>
      <c r="F147" s="230">
        <v>1100</v>
      </c>
      <c r="G147" s="53">
        <v>19065000</v>
      </c>
      <c r="H147" s="38" t="s">
        <v>266</v>
      </c>
      <c r="I147" s="57" t="str">
        <f>IF(ISTEXT(G147),"No text please",IF(G147&lt;0,"No negatives please",IF(ISBLANK(G147),"Please enter a value",IF(AND(G147=0,ISERROR(FIND("zero",K147))),"Please confirm zero",IF(AND(G147&lt;&gt;0,K147="Confirmed zero"),"Value not zero"," ")))))</f>
        <v xml:space="preserve"> </v>
      </c>
      <c r="J147" s="16"/>
      <c r="K147" s="47"/>
      <c r="L147" s="241"/>
      <c r="M147" s="16"/>
      <c r="N147" s="242"/>
      <c r="O147" s="91"/>
      <c r="P147" s="28"/>
      <c r="Q147" s="28"/>
    </row>
    <row r="148" spans="1:17" ht="15" customHeight="1">
      <c r="A148" s="238"/>
      <c r="B148" s="92"/>
      <c r="C148" s="64" t="s">
        <v>252</v>
      </c>
      <c r="D148" s="65"/>
      <c r="E148" s="66"/>
      <c r="F148" s="230">
        <v>1101</v>
      </c>
      <c r="G148" s="53">
        <v>22314000</v>
      </c>
      <c r="H148" s="38" t="s">
        <v>267</v>
      </c>
      <c r="I148" s="57" t="str">
        <f>IF(ISTEXT(G148),"No text please",IF(G148&lt;0,"No negatives please",IF(ISBLANK(G148),"Please enter a value",IF(AND(G148=0,ISERROR(FIND("zero",K148))),"Please confirm zero",IF(AND(G148&lt;&gt;0,K148="Confirmed zero"),"Value not zero"," ")))))</f>
        <v xml:space="preserve"> </v>
      </c>
      <c r="J148" s="16"/>
      <c r="K148" s="47"/>
      <c r="L148" s="241"/>
      <c r="M148" s="16"/>
      <c r="N148" s="242"/>
      <c r="O148" s="91"/>
      <c r="P148" s="28"/>
      <c r="Q148" s="28"/>
    </row>
    <row r="149" spans="1:17" ht="15" customHeight="1">
      <c r="A149" s="238"/>
      <c r="B149" s="92"/>
      <c r="C149" s="29"/>
      <c r="D149" s="29"/>
      <c r="E149" s="29"/>
      <c r="F149" s="46"/>
      <c r="G149" s="40"/>
      <c r="H149" s="38"/>
      <c r="I149" s="38"/>
      <c r="J149" s="16"/>
      <c r="K149" s="38"/>
      <c r="L149" s="38"/>
      <c r="M149" s="16"/>
      <c r="N149" s="38"/>
      <c r="O149" s="100"/>
      <c r="P149" s="28"/>
      <c r="Q149" s="28"/>
    </row>
    <row r="150" spans="1:17" ht="15" customHeight="1">
      <c r="A150" s="238"/>
      <c r="B150" s="92"/>
      <c r="C150" s="29"/>
      <c r="D150" s="29"/>
      <c r="E150" s="29"/>
      <c r="F150" s="46"/>
      <c r="G150" s="40" t="s">
        <v>181</v>
      </c>
      <c r="H150" s="38"/>
      <c r="I150" s="44" t="str">
        <f>I$22</f>
        <v>Checks</v>
      </c>
      <c r="J150" s="16"/>
      <c r="K150" s="44" t="str">
        <f>K$22</f>
        <v>Remarks</v>
      </c>
      <c r="L150" s="44" t="str">
        <f>L$22</f>
        <v>Comments</v>
      </c>
      <c r="M150" s="16"/>
      <c r="N150" s="44" t="str">
        <f>N$22</f>
        <v>Supervisor Comments</v>
      </c>
      <c r="O150" s="100"/>
      <c r="P150" s="28"/>
      <c r="Q150" s="28"/>
    </row>
    <row r="151" spans="1:17" ht="15" customHeight="1">
      <c r="A151" s="238"/>
      <c r="B151" s="92"/>
      <c r="C151" s="64" t="s">
        <v>165</v>
      </c>
      <c r="D151" s="65"/>
      <c r="E151" s="82"/>
      <c r="F151" s="230">
        <v>1102</v>
      </c>
      <c r="G151" s="81">
        <v>31</v>
      </c>
      <c r="H151" s="38" t="s">
        <v>176</v>
      </c>
      <c r="I151" s="57" t="str">
        <f>IF(ISTEXT(G151),"No text please",IF(G151&lt;0,"No negatives please",IF(ISBLANK(G151),"Please enter a value",IF(G151=0,"Cannot be zero",IF(AND(G151&lt;&gt;0,K151="Confirmed zero"),"Value not zero",IF(INT(G151)=G151," ","Integers only"))))))</f>
        <v xml:space="preserve"> </v>
      </c>
      <c r="J151" s="16"/>
      <c r="K151" s="47"/>
      <c r="L151" s="241"/>
      <c r="M151" s="16"/>
      <c r="N151" s="242"/>
      <c r="O151" s="91"/>
      <c r="P151" s="28"/>
      <c r="Q151" s="28"/>
    </row>
    <row r="152" spans="1:17" ht="30" customHeight="1">
      <c r="A152" s="238"/>
      <c r="B152" s="97"/>
      <c r="C152" s="33"/>
      <c r="D152" s="33"/>
      <c r="E152" s="23"/>
      <c r="F152" s="45"/>
      <c r="G152" s="24"/>
      <c r="H152" s="32"/>
      <c r="I152" s="24"/>
      <c r="J152" s="16"/>
      <c r="K152" s="15"/>
      <c r="L152" s="24"/>
      <c r="M152" s="16"/>
      <c r="N152" s="24"/>
      <c r="O152" s="91"/>
      <c r="P152" s="16"/>
      <c r="Q152" s="28"/>
    </row>
    <row r="153" spans="1:17" ht="15" customHeight="1">
      <c r="A153" s="238"/>
      <c r="B153" s="90"/>
      <c r="C153" s="61" t="s">
        <v>346</v>
      </c>
      <c r="D153" s="62"/>
      <c r="E153" s="72"/>
      <c r="F153" s="77" t="s">
        <v>219</v>
      </c>
      <c r="G153" s="40" t="str">
        <f>G$22</f>
        <v>Amount in thousand EUR</v>
      </c>
      <c r="H153" s="38"/>
      <c r="I153" s="44" t="str">
        <f>I$22</f>
        <v>Checks</v>
      </c>
      <c r="J153" s="16"/>
      <c r="K153" s="44" t="str">
        <f>K$22</f>
        <v>Remarks</v>
      </c>
      <c r="L153" s="44" t="str">
        <f>L$22</f>
        <v>Comments</v>
      </c>
      <c r="M153" s="16"/>
      <c r="N153" s="44" t="str">
        <f>N$22</f>
        <v>Supervisor Comments</v>
      </c>
      <c r="O153" s="91"/>
      <c r="P153" s="16"/>
      <c r="Q153" s="28"/>
    </row>
    <row r="154" spans="1:17" ht="15" customHeight="1">
      <c r="A154" s="238"/>
      <c r="B154" s="92"/>
      <c r="C154" s="64" t="s">
        <v>362</v>
      </c>
      <c r="D154" s="65"/>
      <c r="E154" s="66"/>
      <c r="F154" s="230">
        <v>1107</v>
      </c>
      <c r="G154" s="240">
        <v>0</v>
      </c>
      <c r="H154" s="38" t="s">
        <v>216</v>
      </c>
      <c r="I154" s="57" t="str">
        <f>IF(ISTEXT(G154),"No text please",IF(G154&lt;0,"No negatives please",IF(ISBLANK(G154),"Please enter a value",IF(AND(G154=0,ISERROR(FIND("zero",K154))),"Please confirm zero",IF(AND(G154&lt;&gt;0,K154="Confirmed zero"),"Value not zero"," ")))))</f>
        <v xml:space="preserve"> </v>
      </c>
      <c r="J154" s="16"/>
      <c r="K154" s="47" t="s">
        <v>178</v>
      </c>
      <c r="L154" s="241"/>
      <c r="M154" s="16"/>
      <c r="N154" s="242"/>
      <c r="O154" s="91"/>
      <c r="P154" s="28"/>
      <c r="Q154" s="28"/>
    </row>
    <row r="155" spans="1:17" ht="15" customHeight="1">
      <c r="A155" s="238"/>
      <c r="B155" s="97"/>
      <c r="C155" s="64" t="s">
        <v>363</v>
      </c>
      <c r="D155" s="65"/>
      <c r="E155" s="66"/>
      <c r="F155" s="49"/>
      <c r="G155" s="48"/>
      <c r="H155" s="38"/>
      <c r="I155" s="48"/>
      <c r="J155" s="16"/>
      <c r="K155" s="48"/>
      <c r="L155" s="48"/>
      <c r="M155" s="41"/>
      <c r="N155" s="48"/>
      <c r="O155" s="91"/>
      <c r="P155" s="16"/>
      <c r="Q155" s="28"/>
    </row>
    <row r="156" spans="1:17" ht="15" customHeight="1">
      <c r="A156" s="238"/>
      <c r="B156" s="92"/>
      <c r="C156" s="231" t="s">
        <v>418</v>
      </c>
      <c r="D156" s="65"/>
      <c r="E156" s="66"/>
      <c r="F156" s="230">
        <v>1108</v>
      </c>
      <c r="G156" s="240">
        <v>1209653</v>
      </c>
      <c r="H156" s="38" t="s">
        <v>359</v>
      </c>
      <c r="I156" s="57" t="str">
        <f>IF(ISTEXT(G156),"No text please",IF(G156&lt;0,"No negatives please",IF(ISBLANK(G156),"Please enter a value",IF(AND(G156=0,ISERROR(FIND("zero",K156))),"Please confirm zero",IF(AND(G156&lt;&gt;0,K156="Confirmed zero"),"Value not zero"," ")))))</f>
        <v xml:space="preserve"> </v>
      </c>
      <c r="J156" s="16"/>
      <c r="K156" s="47"/>
      <c r="L156" s="241"/>
      <c r="M156" s="16"/>
      <c r="N156" s="242"/>
      <c r="O156" s="91"/>
      <c r="P156" s="28"/>
      <c r="Q156" s="28"/>
    </row>
    <row r="157" spans="1:17" ht="15" customHeight="1">
      <c r="A157" s="238"/>
      <c r="B157" s="92"/>
      <c r="C157" s="231" t="s">
        <v>419</v>
      </c>
      <c r="D157" s="65"/>
      <c r="E157" s="66"/>
      <c r="F157" s="230">
        <v>1109</v>
      </c>
      <c r="G157" s="240">
        <v>7326724</v>
      </c>
      <c r="H157" s="38" t="s">
        <v>360</v>
      </c>
      <c r="I157" s="57" t="str">
        <f>IF(ISTEXT(G157),"No text please",IF(G157&lt;0,"No negatives please",IF(ISBLANK(G157),"Please enter a value",IF(AND(G157=0,ISERROR(FIND("zero",K157))),"Please confirm zero",IF(AND(G157&lt;&gt;0,K157="Confirmed zero"),"Value not zero"," ")))))</f>
        <v xml:space="preserve"> </v>
      </c>
      <c r="J157" s="16"/>
      <c r="K157" s="47"/>
      <c r="L157" s="241"/>
      <c r="M157" s="16"/>
      <c r="N157" s="242"/>
      <c r="O157" s="91"/>
      <c r="P157" s="28"/>
      <c r="Q157" s="28"/>
    </row>
    <row r="158" spans="1:17" ht="15" customHeight="1">
      <c r="A158" s="238"/>
      <c r="B158" s="92"/>
      <c r="C158" s="231" t="s">
        <v>420</v>
      </c>
      <c r="D158" s="65"/>
      <c r="E158" s="66"/>
      <c r="F158" s="230">
        <v>1110</v>
      </c>
      <c r="G158" s="240">
        <v>1442077</v>
      </c>
      <c r="H158" s="38" t="s">
        <v>361</v>
      </c>
      <c r="I158" s="57" t="str">
        <f>IF(ISTEXT(G158),"No text please",IF(G158&lt;0,"No negatives please",IF(ISBLANK(G158),"Please enter a value",IF(AND(G158=0,ISERROR(FIND("zero",K158))),"Please confirm zero",IF(AND(G158&lt;&gt;0,K158="Confirmed zero"),"Value not zero"," ")))))</f>
        <v xml:space="preserve"> </v>
      </c>
      <c r="J158" s="16"/>
      <c r="K158" s="47"/>
      <c r="L158" s="241"/>
      <c r="M158" s="16"/>
      <c r="N158" s="242"/>
      <c r="O158" s="91"/>
      <c r="P158" s="28"/>
      <c r="Q158" s="28"/>
    </row>
    <row r="159" spans="1:17" ht="20.100000000000001" customHeight="1">
      <c r="A159" s="238"/>
      <c r="B159" s="211"/>
      <c r="C159" s="121"/>
      <c r="D159" s="121"/>
      <c r="E159" s="121"/>
      <c r="F159" s="212"/>
      <c r="G159" s="121"/>
      <c r="H159" s="223"/>
      <c r="I159" s="121"/>
      <c r="J159" s="123"/>
      <c r="K159" s="123"/>
      <c r="L159" s="121"/>
      <c r="M159" s="123"/>
      <c r="N159" s="121"/>
      <c r="O159" s="204"/>
      <c r="P159" s="28"/>
      <c r="Q159" s="28"/>
    </row>
    <row r="160" spans="1:17" ht="20.100000000000001" customHeight="1">
      <c r="A160" s="238"/>
      <c r="B160" s="69" t="s">
        <v>269</v>
      </c>
      <c r="C160" s="70"/>
      <c r="D160" s="70"/>
      <c r="E160" s="70"/>
      <c r="F160" s="70"/>
      <c r="G160" s="70"/>
      <c r="H160" s="87"/>
      <c r="I160" s="70"/>
      <c r="J160" s="70"/>
      <c r="K160" s="70"/>
      <c r="L160" s="70"/>
      <c r="M160" s="70"/>
      <c r="N160" s="70"/>
      <c r="O160" s="71"/>
      <c r="P160" s="28"/>
      <c r="Q160" s="28"/>
    </row>
    <row r="161" spans="1:17" ht="20.100000000000001" customHeight="1">
      <c r="A161" s="238"/>
      <c r="B161" s="216"/>
      <c r="C161" s="217"/>
      <c r="D161" s="217"/>
      <c r="E161" s="218"/>
      <c r="F161" s="219"/>
      <c r="G161" s="220"/>
      <c r="H161" s="221"/>
      <c r="I161" s="220"/>
      <c r="J161" s="207"/>
      <c r="K161" s="222"/>
      <c r="L161" s="220"/>
      <c r="M161" s="207"/>
      <c r="N161" s="220"/>
      <c r="O161" s="210"/>
      <c r="P161" s="16"/>
      <c r="Q161" s="28"/>
    </row>
    <row r="162" spans="1:17" ht="15" customHeight="1">
      <c r="A162" s="238"/>
      <c r="B162" s="90"/>
      <c r="C162" s="61" t="s">
        <v>347</v>
      </c>
      <c r="D162" s="62"/>
      <c r="E162" s="63"/>
      <c r="F162" s="77" t="s">
        <v>219</v>
      </c>
      <c r="G162" s="40" t="str">
        <f>G$22</f>
        <v>Amount in thousand EUR</v>
      </c>
      <c r="H162" s="38"/>
      <c r="I162" s="44" t="str">
        <f>I$22</f>
        <v>Checks</v>
      </c>
      <c r="J162" s="16"/>
      <c r="K162" s="44" t="str">
        <f>K$22</f>
        <v>Remarks</v>
      </c>
      <c r="L162" s="44" t="s">
        <v>271</v>
      </c>
      <c r="M162" s="16"/>
      <c r="N162" s="44" t="str">
        <f>N$22</f>
        <v>Supervisor Comments</v>
      </c>
      <c r="O162" s="91"/>
      <c r="P162" s="16"/>
      <c r="Q162" s="28"/>
    </row>
    <row r="163" spans="1:17" ht="15" customHeight="1">
      <c r="A163" s="238"/>
      <c r="B163" s="92"/>
      <c r="C163" s="64" t="s">
        <v>583</v>
      </c>
      <c r="D163" s="65"/>
      <c r="E163" s="66"/>
      <c r="F163" s="230">
        <v>1202</v>
      </c>
      <c r="G163" s="240">
        <v>2542723</v>
      </c>
      <c r="H163" s="38" t="s">
        <v>272</v>
      </c>
      <c r="I163" s="57" t="str">
        <f>IF(ISTEXT(G163),"No text please",IF(G163&lt;0,"No negatives please",IF(ISBLANK(G163),"Please enter a value",IF(AND(G163=0,ISERROR(FIND("zero",K163))),"Please confirm zero",IF(AND(G163&lt;&gt;0,K163="Confirmed zero"),"Value not zero",IF($G$166&gt;$G$163,"&lt; 16.d."," "))))))</f>
        <v xml:space="preserve"> </v>
      </c>
      <c r="J163" s="16"/>
      <c r="K163" s="47"/>
      <c r="L163" s="241"/>
      <c r="M163" s="16"/>
      <c r="N163" s="242"/>
      <c r="O163" s="91"/>
      <c r="P163" s="28"/>
      <c r="Q163" s="28"/>
    </row>
    <row r="164" spans="1:17" ht="15" customHeight="1">
      <c r="A164" s="238"/>
      <c r="B164" s="92"/>
      <c r="C164" s="64" t="s">
        <v>584</v>
      </c>
      <c r="D164" s="65"/>
      <c r="E164" s="66"/>
      <c r="F164" s="230">
        <v>1203</v>
      </c>
      <c r="G164" s="272">
        <v>2542723</v>
      </c>
      <c r="H164" s="38" t="s">
        <v>273</v>
      </c>
      <c r="I164" s="57" t="str">
        <f>IF(ISTEXT(G164),"No text please",IF(G164&lt;0,"No negatives please",IF(ISBLANK(G164),"Please enter a value",IF(AND(G164=0,ISERROR(FIND("zero",K164))),"Please confirm zero",IF(AND(G164&lt;&gt;0,K164="Confirmed zero"),"Value not zero"," ")))))</f>
        <v xml:space="preserve"> </v>
      </c>
      <c r="J164" s="16"/>
      <c r="K164" s="47"/>
      <c r="L164" s="241"/>
      <c r="M164" s="16"/>
      <c r="N164" s="242"/>
      <c r="O164" s="91"/>
      <c r="P164" s="28"/>
      <c r="Q164" s="28"/>
    </row>
    <row r="165" spans="1:17" ht="15" customHeight="1">
      <c r="A165" s="238"/>
      <c r="B165" s="92"/>
      <c r="C165" s="64" t="s">
        <v>585</v>
      </c>
      <c r="D165" s="65"/>
      <c r="E165" s="66"/>
      <c r="F165" s="230">
        <v>1117</v>
      </c>
      <c r="G165" s="272">
        <v>466777983.97899997</v>
      </c>
      <c r="H165" s="38" t="s">
        <v>274</v>
      </c>
      <c r="I165" s="57" t="str">
        <f>IF(ISTEXT(G165),"No text please",IF(G165&lt;0,"No negatives please",IF(ISBLANK(G165),"Please enter a value",IF(AND(G165=0,ISERROR(FIND("zero",K165))),"Please confirm zero",IF(AND(G165&lt;&gt;0,K165="Confirmed zero"),"Value not zero",IF(AND($G$165&lt;$G$38,ISNUMBER($G$38)),"&lt; 2.f",IF($G$165&lt;SUM($G$167:$G$171),"&lt; sum of 16.d(1)-(5)"," ")))))))</f>
        <v xml:space="preserve"> </v>
      </c>
      <c r="J165" s="16"/>
      <c r="K165" s="47"/>
      <c r="L165" s="241"/>
      <c r="M165" s="16"/>
      <c r="N165" s="242"/>
      <c r="O165" s="91"/>
      <c r="P165" s="28"/>
      <c r="Q165" s="28"/>
    </row>
    <row r="166" spans="1:17" ht="15" customHeight="1">
      <c r="A166" s="238"/>
      <c r="B166" s="92"/>
      <c r="C166" s="64" t="s">
        <v>586</v>
      </c>
      <c r="D166" s="65"/>
      <c r="E166" s="66"/>
      <c r="F166" s="49"/>
      <c r="G166" s="48"/>
      <c r="H166" s="38"/>
      <c r="I166" s="48"/>
      <c r="J166" s="16"/>
      <c r="K166" s="47"/>
      <c r="L166" s="241"/>
      <c r="M166" s="16"/>
      <c r="N166" s="242"/>
      <c r="O166" s="91"/>
      <c r="P166" s="28"/>
      <c r="Q166" s="28"/>
    </row>
    <row r="167" spans="1:17" ht="15" customHeight="1">
      <c r="A167" s="238"/>
      <c r="B167" s="92"/>
      <c r="C167" s="231" t="s">
        <v>587</v>
      </c>
      <c r="D167" s="65"/>
      <c r="E167" s="66"/>
      <c r="F167" s="230">
        <v>1204</v>
      </c>
      <c r="G167" s="272">
        <v>2600574.0150000001</v>
      </c>
      <c r="H167" s="38" t="s">
        <v>592</v>
      </c>
      <c r="I167" s="57" t="str">
        <f>IF(ISTEXT(G167),"No text please",IF(G167&lt;0,"No negatives please",IF(ISBLANK(G167),"Please enter a value",IF(AND(G167=0,ISERROR(FIND("zero",K167))),"Please confirm zero",IF(AND(G167&lt;&gt;0,K167="Confirmed zero"),"Value not zero"," ")))))</f>
        <v xml:space="preserve"> </v>
      </c>
      <c r="J167" s="16"/>
      <c r="K167" s="47"/>
      <c r="L167" s="241"/>
      <c r="M167" s="16"/>
      <c r="N167" s="242"/>
      <c r="O167" s="91"/>
      <c r="P167" s="28"/>
      <c r="Q167" s="28"/>
    </row>
    <row r="168" spans="1:17" ht="15" customHeight="1">
      <c r="A168" s="238"/>
      <c r="B168" s="92"/>
      <c r="C168" s="231" t="s">
        <v>588</v>
      </c>
      <c r="D168" s="65"/>
      <c r="E168" s="66"/>
      <c r="F168" s="230">
        <v>1205</v>
      </c>
      <c r="G168" s="272">
        <v>0</v>
      </c>
      <c r="H168" s="38" t="s">
        <v>593</v>
      </c>
      <c r="I168" s="57" t="str">
        <f>IF(ISTEXT(G168),"No text please",IF(G168&lt;0,"No negatives please",IF(ISBLANK(G168),"Please enter a value",IF(AND(G168=0,ISERROR(FIND("zero",K168))),"Please confirm zero",IF(AND(G168&lt;&gt;0,K168="Confirmed zero"),"Value not zero",IF(L168="&lt;&lt;See line item instructions.&gt;&gt;","Comment required"," "))))))</f>
        <v xml:space="preserve"> </v>
      </c>
      <c r="J168" s="16"/>
      <c r="K168" s="47" t="s">
        <v>178</v>
      </c>
      <c r="L168" s="257" t="s">
        <v>640</v>
      </c>
      <c r="M168" s="16"/>
      <c r="N168" s="242"/>
      <c r="O168" s="91"/>
      <c r="P168" s="28"/>
      <c r="Q168" s="28"/>
    </row>
    <row r="169" spans="1:17" ht="15" customHeight="1">
      <c r="A169" s="238"/>
      <c r="B169" s="92"/>
      <c r="C169" s="231" t="s">
        <v>589</v>
      </c>
      <c r="D169" s="65"/>
      <c r="E169" s="66"/>
      <c r="F169" s="230">
        <v>1206</v>
      </c>
      <c r="G169" s="272">
        <v>0</v>
      </c>
      <c r="H169" s="38" t="s">
        <v>594</v>
      </c>
      <c r="I169" s="57" t="str">
        <f>IF(ISTEXT(G169),"No text please",IF(G169&lt;0,"No negatives please",IF(ISBLANK(G169),"Please enter a value",IF(AND(G169=0,ISERROR(FIND("zero",K169))),"Please confirm zero",IF(AND(G169&lt;&gt;0,K169="Confirmed zero"),"Value not zero"," ")))))</f>
        <v xml:space="preserve"> </v>
      </c>
      <c r="J169" s="16"/>
      <c r="K169" s="47" t="s">
        <v>178</v>
      </c>
      <c r="L169" s="241"/>
      <c r="M169" s="16"/>
      <c r="N169" s="242"/>
      <c r="O169" s="91"/>
      <c r="P169" s="28"/>
      <c r="Q169" s="28"/>
    </row>
    <row r="170" spans="1:17" ht="15" customHeight="1">
      <c r="A170" s="238"/>
      <c r="B170" s="92"/>
      <c r="C170" s="231" t="s">
        <v>590</v>
      </c>
      <c r="D170" s="65"/>
      <c r="E170" s="66"/>
      <c r="F170" s="230">
        <v>1207</v>
      </c>
      <c r="G170" s="272">
        <v>19250.262999999999</v>
      </c>
      <c r="H170" s="38" t="s">
        <v>595</v>
      </c>
      <c r="I170" s="57" t="str">
        <f>IF(ISTEXT(G170),"No text please",IF(G170&lt;0,"No negatives please",IF(ISBLANK(G170),"Please enter a value",IF(AND(G170=0,ISERROR(FIND("zero",K170))),"Please confirm zero",IF(AND(G170&lt;&gt;0,K170="Confirmed zero"),"Value not zero"," ")))))</f>
        <v xml:space="preserve"> </v>
      </c>
      <c r="J170" s="16"/>
      <c r="K170" s="47"/>
      <c r="L170" s="241"/>
      <c r="M170" s="16"/>
      <c r="N170" s="242"/>
      <c r="O170" s="91"/>
      <c r="P170" s="28"/>
      <c r="Q170" s="28"/>
    </row>
    <row r="171" spans="1:17" ht="15" customHeight="1">
      <c r="A171" s="238"/>
      <c r="B171" s="92"/>
      <c r="C171" s="231" t="s">
        <v>591</v>
      </c>
      <c r="D171" s="65"/>
      <c r="E171" s="66"/>
      <c r="F171" s="230">
        <v>1208</v>
      </c>
      <c r="G171" s="272">
        <v>114765.78200000001</v>
      </c>
      <c r="H171" s="38" t="s">
        <v>596</v>
      </c>
      <c r="I171" s="57" t="str">
        <f>IF(ISTEXT(G171),"No text please",IF(G171&lt;0,"No negatives please",IF(ISBLANK(G171),"Please enter a value",IF(AND(G171=0,ISERROR(FIND("zero",K171))),"Please confirm zero",IF(AND(G171&lt;&gt;0,K171="Confirmed zero"),"Value not zero"," ")))))</f>
        <v xml:space="preserve"> </v>
      </c>
      <c r="J171" s="16"/>
      <c r="K171" s="47"/>
      <c r="L171" s="241"/>
      <c r="M171" s="16"/>
      <c r="N171" s="242"/>
      <c r="O171" s="91"/>
      <c r="P171" s="28"/>
      <c r="Q171" s="28"/>
    </row>
    <row r="172" spans="1:17" ht="15" customHeight="1">
      <c r="A172" s="238"/>
      <c r="B172" s="92"/>
      <c r="C172" s="29"/>
      <c r="D172" s="29"/>
      <c r="E172" s="29"/>
      <c r="F172" s="46"/>
      <c r="G172" s="40"/>
      <c r="H172" s="38"/>
      <c r="I172" s="38"/>
      <c r="J172" s="16"/>
      <c r="K172" s="38"/>
      <c r="L172" s="38"/>
      <c r="M172" s="16"/>
      <c r="N172" s="38"/>
      <c r="O172" s="100"/>
      <c r="P172" s="28"/>
      <c r="Q172" s="28"/>
    </row>
    <row r="173" spans="1:17" ht="15" customHeight="1">
      <c r="A173" s="238"/>
      <c r="B173" s="92"/>
      <c r="C173" s="61" t="s">
        <v>348</v>
      </c>
      <c r="D173" s="62"/>
      <c r="E173" s="63"/>
      <c r="F173" s="77" t="s">
        <v>219</v>
      </c>
      <c r="G173" s="40" t="str">
        <f>G$22</f>
        <v>Amount in thousand EUR</v>
      </c>
      <c r="H173" s="38"/>
      <c r="I173" s="44" t="str">
        <f>I$22</f>
        <v>Checks</v>
      </c>
      <c r="J173" s="16"/>
      <c r="K173" s="44" t="str">
        <f>K$22</f>
        <v>Remarks</v>
      </c>
      <c r="L173" s="44" t="str">
        <f>$L$162</f>
        <v>Comments Regarding Data Quality/Availability</v>
      </c>
      <c r="M173" s="16"/>
      <c r="N173" s="44" t="str">
        <f>N$22</f>
        <v>Supervisor Comments</v>
      </c>
      <c r="O173" s="91"/>
      <c r="P173" s="28"/>
      <c r="Q173" s="28"/>
    </row>
    <row r="174" spans="1:17" ht="15" customHeight="1">
      <c r="A174" s="238"/>
      <c r="B174" s="92"/>
      <c r="C174" s="64" t="s">
        <v>294</v>
      </c>
      <c r="D174" s="65"/>
      <c r="E174" s="66"/>
      <c r="F174" s="230">
        <v>1118</v>
      </c>
      <c r="G174" s="272">
        <v>16575000</v>
      </c>
      <c r="H174" s="38" t="s">
        <v>296</v>
      </c>
      <c r="I174" s="57" t="str">
        <f>IF(ISTEXT(G174),"No text please",IF(G174&lt;0,"No negatives please",IF(ISBLANK(G174),"Please enter a value",IF(AND(G174=0,ISERROR(FIND("zero",K174))),"Please confirm zero",IF(AND(G174&lt;&gt;0,K174="Confirmed zero"),"Value not zero"," ")))))</f>
        <v xml:space="preserve"> </v>
      </c>
      <c r="J174" s="16"/>
      <c r="K174" s="47"/>
      <c r="L174" s="241"/>
      <c r="M174" s="16"/>
      <c r="N174" s="242"/>
      <c r="O174" s="91"/>
      <c r="P174" s="28"/>
      <c r="Q174" s="28"/>
    </row>
    <row r="175" spans="1:17" ht="15" customHeight="1">
      <c r="A175" s="238"/>
      <c r="B175" s="92"/>
      <c r="C175" s="64" t="s">
        <v>526</v>
      </c>
      <c r="D175" s="65"/>
      <c r="E175" s="66"/>
      <c r="F175" s="230">
        <v>1119</v>
      </c>
      <c r="G175" s="240">
        <v>0</v>
      </c>
      <c r="H175" s="38" t="s">
        <v>297</v>
      </c>
      <c r="I175" s="57" t="str">
        <f>IF(ISTEXT(G175),"No text please",IF(G175&lt;0,"No negatives please",IF(ISBLANK(G175),"Please enter a value",IF(AND(G175=0,ISERROR(FIND("zero",K175))),"Please confirm zero",IF(AND(G175&lt;&gt;0,K175="Confirmed zero"),"Value not zero"," ")))))</f>
        <v xml:space="preserve"> </v>
      </c>
      <c r="J175" s="16"/>
      <c r="K175" s="47" t="s">
        <v>178</v>
      </c>
      <c r="L175" s="241"/>
      <c r="M175" s="16"/>
      <c r="N175" s="242"/>
      <c r="O175" s="91"/>
      <c r="P175" s="28"/>
      <c r="Q175" s="28"/>
    </row>
    <row r="176" spans="1:17" ht="15" customHeight="1">
      <c r="A176" s="238"/>
      <c r="B176" s="92"/>
      <c r="C176" s="64" t="s">
        <v>295</v>
      </c>
      <c r="D176" s="65"/>
      <c r="E176" s="66"/>
      <c r="F176" s="230">
        <v>1120</v>
      </c>
      <c r="G176" s="272">
        <v>16608</v>
      </c>
      <c r="H176" s="38" t="s">
        <v>298</v>
      </c>
      <c r="I176" s="57" t="str">
        <f>IF(ISTEXT(G176),"No text please",IF(G176&lt;0,"No negatives please",IF(ISBLANK(G176),"Please enter a value",IF(AND(G176=0,ISERROR(FIND("zero",K176))),"Please confirm zero",IF(AND(G176&lt;&gt;0,K176="Confirmed zero"),"Value not zero"," ")))))</f>
        <v xml:space="preserve"> </v>
      </c>
      <c r="J176" s="16"/>
      <c r="K176" s="47"/>
      <c r="L176" s="241"/>
      <c r="M176" s="16"/>
      <c r="N176" s="242"/>
      <c r="O176" s="91"/>
      <c r="P176" s="28"/>
      <c r="Q176" s="28"/>
    </row>
    <row r="177" spans="1:17" ht="15" customHeight="1">
      <c r="A177" s="238"/>
      <c r="B177" s="92"/>
      <c r="C177" s="64" t="s">
        <v>527</v>
      </c>
      <c r="D177" s="65"/>
      <c r="E177" s="66"/>
      <c r="F177" s="230">
        <v>1209</v>
      </c>
      <c r="G177" s="48"/>
      <c r="H177" s="38" t="s">
        <v>519</v>
      </c>
      <c r="I177" s="57" t="str">
        <f>IF(OR(ISBLANK(L177),L177="&lt;&lt;See line item instructions.&gt;&gt;"),"Comment required"," ")</f>
        <v xml:space="preserve"> </v>
      </c>
      <c r="J177" s="16"/>
      <c r="K177" s="47"/>
      <c r="L177" s="257" t="s">
        <v>641</v>
      </c>
      <c r="M177" s="16"/>
      <c r="N177" s="242"/>
      <c r="O177" s="91"/>
      <c r="P177" s="28"/>
      <c r="Q177" s="28"/>
    </row>
    <row r="178" spans="1:17" ht="15" customHeight="1">
      <c r="A178" s="238"/>
      <c r="B178" s="92"/>
      <c r="C178" s="64" t="s">
        <v>528</v>
      </c>
      <c r="D178" s="65"/>
      <c r="E178" s="66"/>
      <c r="F178" s="230">
        <v>1210</v>
      </c>
      <c r="G178" s="48"/>
      <c r="H178" s="38" t="s">
        <v>520</v>
      </c>
      <c r="I178" s="57" t="str">
        <f>IF(OR(ISBLANK(L178),L178="&lt;&lt;See line item instructions.&gt;&gt;"),"Comment required"," ")</f>
        <v xml:space="preserve"> </v>
      </c>
      <c r="J178" s="16"/>
      <c r="K178" s="47"/>
      <c r="L178" s="257" t="s">
        <v>641</v>
      </c>
      <c r="M178" s="16"/>
      <c r="N178" s="242"/>
      <c r="O178" s="91"/>
      <c r="P178" s="28"/>
      <c r="Q178" s="28"/>
    </row>
    <row r="179" spans="1:17" ht="15" customHeight="1">
      <c r="A179" s="238"/>
      <c r="B179" s="92"/>
      <c r="C179" s="64" t="s">
        <v>529</v>
      </c>
      <c r="D179" s="65"/>
      <c r="E179" s="66"/>
      <c r="F179" s="230">
        <v>1211</v>
      </c>
      <c r="G179" s="240">
        <v>128004</v>
      </c>
      <c r="H179" s="38" t="s">
        <v>522</v>
      </c>
      <c r="I179" s="57" t="str">
        <f t="shared" ref="I179:I194" si="2">IF(ISTEXT(G179),"No text please",IF(G179&lt;0,"No negatives please",IF(ISBLANK(G179),"Please enter a value",IF(AND(G179=0,ISERROR(FIND("zero",K179))),"Please confirm zero",IF(AND(G179&lt;&gt;0,K179="Confirmed zero"),"Value not zero"," ")))))</f>
        <v xml:space="preserve"> </v>
      </c>
      <c r="J179" s="16"/>
      <c r="K179" s="47"/>
      <c r="L179" s="241"/>
      <c r="M179" s="16"/>
      <c r="N179" s="242"/>
      <c r="O179" s="91"/>
      <c r="P179" s="28"/>
      <c r="Q179" s="28"/>
    </row>
    <row r="180" spans="1:17" ht="15" customHeight="1">
      <c r="A180" s="238"/>
      <c r="B180" s="92"/>
      <c r="C180" s="64" t="s">
        <v>530</v>
      </c>
      <c r="D180" s="65"/>
      <c r="E180" s="66"/>
      <c r="F180" s="230">
        <v>1212</v>
      </c>
      <c r="G180" s="240">
        <v>0</v>
      </c>
      <c r="H180" s="38" t="s">
        <v>523</v>
      </c>
      <c r="I180" s="57" t="str">
        <f t="shared" si="2"/>
        <v xml:space="preserve"> </v>
      </c>
      <c r="J180" s="16"/>
      <c r="K180" s="47" t="s">
        <v>178</v>
      </c>
      <c r="L180" s="241"/>
      <c r="M180" s="16"/>
      <c r="N180" s="242"/>
      <c r="O180" s="91"/>
      <c r="P180" s="28"/>
      <c r="Q180" s="28"/>
    </row>
    <row r="181" spans="1:17" ht="15" customHeight="1">
      <c r="A181" s="238"/>
      <c r="B181" s="92"/>
      <c r="C181" s="64" t="s">
        <v>531</v>
      </c>
      <c r="D181" s="65"/>
      <c r="E181" s="66"/>
      <c r="F181" s="230">
        <v>1213</v>
      </c>
      <c r="G181" s="272">
        <v>1486900</v>
      </c>
      <c r="H181" s="38" t="s">
        <v>524</v>
      </c>
      <c r="I181" s="57" t="str">
        <f t="shared" si="2"/>
        <v xml:space="preserve"> </v>
      </c>
      <c r="J181" s="16"/>
      <c r="K181" s="47"/>
      <c r="L181" s="241"/>
      <c r="M181" s="16"/>
      <c r="N181" s="242"/>
      <c r="O181" s="91"/>
      <c r="P181" s="28"/>
      <c r="Q181" s="28"/>
    </row>
    <row r="182" spans="1:17" ht="15" customHeight="1">
      <c r="A182" s="238"/>
      <c r="B182" s="92"/>
      <c r="C182" s="64" t="s">
        <v>532</v>
      </c>
      <c r="D182" s="65"/>
      <c r="E182" s="66"/>
      <c r="F182" s="230">
        <v>1214</v>
      </c>
      <c r="G182" s="272">
        <v>842001.84100000001</v>
      </c>
      <c r="H182" s="38" t="s">
        <v>525</v>
      </c>
      <c r="I182" s="57" t="str">
        <f t="shared" si="2"/>
        <v xml:space="preserve"> </v>
      </c>
      <c r="J182" s="16"/>
      <c r="K182" s="47"/>
      <c r="L182" s="241"/>
      <c r="M182" s="16"/>
      <c r="N182" s="242"/>
      <c r="O182" s="91"/>
      <c r="P182" s="28"/>
      <c r="Q182" s="28"/>
    </row>
    <row r="183" spans="1:17" ht="15" customHeight="1">
      <c r="A183" s="238"/>
      <c r="B183" s="92"/>
      <c r="C183" s="64" t="s">
        <v>617</v>
      </c>
      <c r="D183" s="65"/>
      <c r="E183" s="66"/>
      <c r="F183" s="230">
        <v>1215</v>
      </c>
      <c r="G183" s="55">
        <f>IF(COUNTIF($I$184:$I$188,"&lt;&gt; ")=0,SUM($G$184:$G$188),"")</f>
        <v>96021250.415000007</v>
      </c>
      <c r="H183" s="38" t="s">
        <v>597</v>
      </c>
      <c r="I183" s="57" t="str">
        <f>IF(G183&lt;0,"No negatives please",IF(ISBLANK(G183),"Please enter a value",IF(AND(G183=0,ISERROR(FIND("zero",K183))),"Please confirm zero",IF(AND(G183&lt;&gt;0,K183="Confirmed zero"),"Value not zero",IF($G$183&lt;$G$58,"&lt;  3.f."," ")))))</f>
        <v xml:space="preserve"> </v>
      </c>
      <c r="J183" s="16"/>
      <c r="K183" s="48"/>
      <c r="L183" s="48"/>
      <c r="M183" s="41"/>
      <c r="N183" s="48"/>
      <c r="O183" s="91"/>
      <c r="P183" s="28"/>
      <c r="Q183" s="28"/>
    </row>
    <row r="184" spans="1:17" ht="15" customHeight="1">
      <c r="A184" s="238"/>
      <c r="B184" s="92"/>
      <c r="C184" s="231" t="s">
        <v>607</v>
      </c>
      <c r="D184" s="65"/>
      <c r="E184" s="66"/>
      <c r="F184" s="230">
        <v>1216</v>
      </c>
      <c r="G184" s="240">
        <v>52226369</v>
      </c>
      <c r="H184" s="38" t="s">
        <v>610</v>
      </c>
      <c r="I184" s="57" t="str">
        <f t="shared" si="2"/>
        <v xml:space="preserve"> </v>
      </c>
      <c r="J184" s="16"/>
      <c r="K184" s="47"/>
      <c r="L184" s="241"/>
      <c r="M184" s="16"/>
      <c r="N184" s="242"/>
      <c r="O184" s="91"/>
      <c r="P184" s="28"/>
      <c r="Q184" s="28"/>
    </row>
    <row r="185" spans="1:17" ht="15" customHeight="1">
      <c r="A185" s="238"/>
      <c r="B185" s="92"/>
      <c r="C185" s="231" t="s">
        <v>608</v>
      </c>
      <c r="D185" s="65"/>
      <c r="E185" s="66"/>
      <c r="F185" s="230">
        <v>1217</v>
      </c>
      <c r="G185" s="272">
        <v>32165204</v>
      </c>
      <c r="H185" s="38" t="s">
        <v>611</v>
      </c>
      <c r="I185" s="57" t="str">
        <f t="shared" si="2"/>
        <v xml:space="preserve"> </v>
      </c>
      <c r="J185" s="16"/>
      <c r="K185" s="47"/>
      <c r="L185" s="241"/>
      <c r="M185" s="16"/>
      <c r="N185" s="242"/>
      <c r="O185" s="91"/>
      <c r="P185" s="28"/>
      <c r="Q185" s="28"/>
    </row>
    <row r="186" spans="1:17" ht="15" customHeight="1">
      <c r="A186" s="238"/>
      <c r="B186" s="92"/>
      <c r="C186" s="231" t="s">
        <v>616</v>
      </c>
      <c r="D186" s="65"/>
      <c r="E186" s="66"/>
      <c r="F186" s="230">
        <v>1218</v>
      </c>
      <c r="G186" s="240">
        <v>8324079</v>
      </c>
      <c r="H186" s="38" t="s">
        <v>612</v>
      </c>
      <c r="I186" s="57" t="str">
        <f t="shared" si="2"/>
        <v xml:space="preserve"> </v>
      </c>
      <c r="J186" s="16"/>
      <c r="K186" s="47"/>
      <c r="L186" s="241"/>
      <c r="M186" s="16"/>
      <c r="N186" s="242"/>
      <c r="O186" s="91"/>
      <c r="P186" s="28"/>
      <c r="Q186" s="28"/>
    </row>
    <row r="187" spans="1:17" ht="15" customHeight="1">
      <c r="A187" s="238"/>
      <c r="B187" s="92"/>
      <c r="C187" s="231" t="s">
        <v>609</v>
      </c>
      <c r="D187" s="65"/>
      <c r="E187" s="66"/>
      <c r="F187" s="230">
        <v>1219</v>
      </c>
      <c r="G187" s="272">
        <v>1486900.0179999999</v>
      </c>
      <c r="H187" s="38" t="s">
        <v>613</v>
      </c>
      <c r="I187" s="57" t="str">
        <f t="shared" si="2"/>
        <v xml:space="preserve"> </v>
      </c>
      <c r="J187" s="16"/>
      <c r="K187" s="47"/>
      <c r="L187" s="241"/>
      <c r="M187" s="16"/>
      <c r="N187" s="242"/>
      <c r="O187" s="91"/>
      <c r="P187" s="28"/>
      <c r="Q187" s="28"/>
    </row>
    <row r="188" spans="1:17" ht="15" customHeight="1">
      <c r="A188" s="238"/>
      <c r="B188" s="92"/>
      <c r="C188" s="231" t="s">
        <v>615</v>
      </c>
      <c r="D188" s="65"/>
      <c r="E188" s="66"/>
      <c r="F188" s="230">
        <v>1220</v>
      </c>
      <c r="G188" s="272">
        <v>1818698.3970000001</v>
      </c>
      <c r="H188" s="38" t="s">
        <v>614</v>
      </c>
      <c r="I188" s="57" t="str">
        <f t="shared" si="2"/>
        <v xml:space="preserve"> </v>
      </c>
      <c r="J188" s="16"/>
      <c r="K188" s="47"/>
      <c r="L188" s="241"/>
      <c r="M188" s="16"/>
      <c r="N188" s="242"/>
      <c r="O188" s="91"/>
      <c r="P188" s="28"/>
      <c r="Q188" s="28"/>
    </row>
    <row r="189" spans="1:17" ht="15" customHeight="1">
      <c r="A189" s="238"/>
      <c r="B189" s="92"/>
      <c r="C189" s="64" t="s">
        <v>635</v>
      </c>
      <c r="D189" s="65"/>
      <c r="E189" s="66"/>
      <c r="F189" s="230">
        <v>1221</v>
      </c>
      <c r="G189" s="55">
        <f>IF(COUNTIF($I$190:$I$193,"&lt;&gt; ")=0,SUM($G$190:$G$193),"")</f>
        <v>58548439.339000002</v>
      </c>
      <c r="H189" s="38" t="s">
        <v>598</v>
      </c>
      <c r="I189" s="57" t="str">
        <f>IF(G189&lt;0,"No negatives please",IF(ISBLANK(G189),"Please enter a value",IF(AND(G189=0,ISERROR(FIND("zero",K189))),"Please confirm zero",IF(AND(G189&lt;&gt;0,K189="Confirmed zero"),"Value not zero",IF($G$189&lt;$G$70,"&lt;  4.e."," ")))))</f>
        <v xml:space="preserve"> </v>
      </c>
      <c r="J189" s="16"/>
      <c r="K189" s="48"/>
      <c r="L189" s="48"/>
      <c r="M189" s="41"/>
      <c r="N189" s="48"/>
      <c r="O189" s="91"/>
      <c r="P189" s="28"/>
      <c r="Q189" s="28"/>
    </row>
    <row r="190" spans="1:17" ht="15" customHeight="1">
      <c r="A190" s="238"/>
      <c r="B190" s="92"/>
      <c r="C190" s="231" t="s">
        <v>622</v>
      </c>
      <c r="D190" s="65"/>
      <c r="E190" s="66"/>
      <c r="F190" s="230">
        <v>1222</v>
      </c>
      <c r="G190" s="240">
        <v>39687754</v>
      </c>
      <c r="H190" s="38" t="s">
        <v>618</v>
      </c>
      <c r="I190" s="57" t="str">
        <f t="shared" ref="I190:I193" si="3">IF(ISTEXT(G190),"No text please",IF(G190&lt;0,"No negatives please",IF(ISBLANK(G190),"Please enter a value",IF(AND(G190=0,ISERROR(FIND("zero",K190))),"Please confirm zero",IF(AND(G190&lt;&gt;0,K190="Confirmed zero"),"Value not zero"," ")))))</f>
        <v xml:space="preserve"> </v>
      </c>
      <c r="J190" s="16"/>
      <c r="K190" s="47"/>
      <c r="L190" s="241"/>
      <c r="M190" s="16"/>
      <c r="N190" s="242"/>
      <c r="O190" s="91"/>
      <c r="P190" s="28"/>
      <c r="Q190" s="28"/>
    </row>
    <row r="191" spans="1:17" ht="15" customHeight="1">
      <c r="A191" s="238"/>
      <c r="B191" s="92"/>
      <c r="C191" s="231" t="s">
        <v>623</v>
      </c>
      <c r="D191" s="65"/>
      <c r="E191" s="66"/>
      <c r="F191" s="230">
        <v>1223</v>
      </c>
      <c r="G191" s="272">
        <v>243294</v>
      </c>
      <c r="H191" s="38" t="s">
        <v>619</v>
      </c>
      <c r="I191" s="57" t="str">
        <f t="shared" si="3"/>
        <v xml:space="preserve"> </v>
      </c>
      <c r="J191" s="16"/>
      <c r="K191" s="47"/>
      <c r="L191" s="241"/>
      <c r="M191" s="16"/>
      <c r="N191" s="242"/>
      <c r="O191" s="91"/>
      <c r="P191" s="28"/>
      <c r="Q191" s="28"/>
    </row>
    <row r="192" spans="1:17" ht="15" customHeight="1">
      <c r="A192" s="238"/>
      <c r="B192" s="92"/>
      <c r="C192" s="231" t="s">
        <v>624</v>
      </c>
      <c r="D192" s="65"/>
      <c r="E192" s="66"/>
      <c r="F192" s="230">
        <v>1224</v>
      </c>
      <c r="G192" s="272">
        <v>842001.84100000001</v>
      </c>
      <c r="H192" s="38" t="s">
        <v>620</v>
      </c>
      <c r="I192" s="57" t="str">
        <f t="shared" si="3"/>
        <v xml:space="preserve"> </v>
      </c>
      <c r="J192" s="16"/>
      <c r="K192" s="47"/>
      <c r="L192" s="241"/>
      <c r="M192" s="16"/>
      <c r="N192" s="242"/>
      <c r="O192" s="91"/>
      <c r="P192" s="28"/>
      <c r="Q192" s="28"/>
    </row>
    <row r="193" spans="1:17" ht="15" customHeight="1">
      <c r="A193" s="238"/>
      <c r="B193" s="92"/>
      <c r="C193" s="231" t="s">
        <v>625</v>
      </c>
      <c r="D193" s="65"/>
      <c r="E193" s="66"/>
      <c r="F193" s="230">
        <v>1225</v>
      </c>
      <c r="G193" s="272">
        <v>17775389.498</v>
      </c>
      <c r="H193" s="38" t="s">
        <v>621</v>
      </c>
      <c r="I193" s="57" t="str">
        <f t="shared" si="3"/>
        <v xml:space="preserve"> </v>
      </c>
      <c r="J193" s="16"/>
      <c r="K193" s="47"/>
      <c r="L193" s="241"/>
      <c r="M193" s="16"/>
      <c r="N193" s="242"/>
      <c r="O193" s="91"/>
      <c r="P193" s="28"/>
      <c r="Q193" s="28"/>
    </row>
    <row r="194" spans="1:17" ht="15" customHeight="1">
      <c r="A194" s="238"/>
      <c r="B194" s="92"/>
      <c r="C194" s="64" t="s">
        <v>627</v>
      </c>
      <c r="D194" s="65"/>
      <c r="E194" s="66"/>
      <c r="F194" s="230">
        <v>1226</v>
      </c>
      <c r="G194" s="276">
        <v>83827236</v>
      </c>
      <c r="H194" s="38" t="s">
        <v>599</v>
      </c>
      <c r="I194" s="57" t="str">
        <f t="shared" si="2"/>
        <v xml:space="preserve"> </v>
      </c>
      <c r="J194" s="16"/>
      <c r="K194" s="47"/>
      <c r="L194" s="241"/>
      <c r="M194" s="16"/>
      <c r="N194" s="242"/>
      <c r="O194" s="91"/>
      <c r="P194" s="28"/>
      <c r="Q194" s="28"/>
    </row>
    <row r="195" spans="1:17" ht="15" customHeight="1">
      <c r="A195" s="238"/>
      <c r="B195" s="92"/>
      <c r="C195" s="29"/>
      <c r="D195" s="29"/>
      <c r="E195" s="29"/>
      <c r="F195" s="46"/>
      <c r="G195" s="40"/>
      <c r="H195" s="38"/>
      <c r="I195" s="38"/>
      <c r="J195" s="16"/>
      <c r="K195" s="38"/>
      <c r="L195" s="38"/>
      <c r="M195" s="16"/>
      <c r="N195" s="38"/>
      <c r="O195" s="100"/>
      <c r="P195" s="28"/>
      <c r="Q195" s="28"/>
    </row>
    <row r="196" spans="1:17" ht="15" customHeight="1">
      <c r="A196" s="238"/>
      <c r="B196" s="97"/>
      <c r="C196" s="61" t="s">
        <v>349</v>
      </c>
      <c r="D196" s="62"/>
      <c r="E196" s="63"/>
      <c r="F196" s="60" t="s">
        <v>219</v>
      </c>
      <c r="G196" s="245" t="str">
        <f>G$22</f>
        <v>Amount in thousand EUR</v>
      </c>
      <c r="H196" s="32"/>
      <c r="I196" s="44" t="str">
        <f>I$22</f>
        <v>Checks</v>
      </c>
      <c r="J196" s="16"/>
      <c r="K196" s="44" t="str">
        <f>K$22</f>
        <v>Remarks</v>
      </c>
      <c r="L196" s="44" t="str">
        <f>$L$162</f>
        <v>Comments Regarding Data Quality/Availability</v>
      </c>
      <c r="M196" s="16"/>
      <c r="N196" s="44" t="str">
        <f>N$22</f>
        <v>Supervisor Comments</v>
      </c>
      <c r="O196" s="91"/>
      <c r="P196" s="16"/>
      <c r="Q196" s="28"/>
    </row>
    <row r="197" spans="1:17" ht="15" customHeight="1">
      <c r="A197" s="238"/>
      <c r="B197" s="97"/>
      <c r="C197" s="118" t="s">
        <v>373</v>
      </c>
      <c r="D197" s="65"/>
      <c r="E197" s="66"/>
      <c r="F197" s="49"/>
      <c r="G197" s="48"/>
      <c r="H197" s="38"/>
      <c r="I197" s="48"/>
      <c r="J197" s="16"/>
      <c r="K197" s="48"/>
      <c r="L197" s="48"/>
      <c r="M197" s="41"/>
      <c r="N197" s="48"/>
      <c r="O197" s="91"/>
      <c r="P197" s="16"/>
      <c r="Q197" s="28"/>
    </row>
    <row r="198" spans="1:17" ht="15" customHeight="1">
      <c r="A198" s="238"/>
      <c r="B198" s="92"/>
      <c r="C198" s="231" t="s">
        <v>421</v>
      </c>
      <c r="D198" s="65"/>
      <c r="E198" s="66"/>
      <c r="F198" s="230">
        <v>1121</v>
      </c>
      <c r="G198" s="240">
        <v>19538</v>
      </c>
      <c r="H198" s="38" t="s">
        <v>299</v>
      </c>
      <c r="I198" s="57" t="str">
        <f t="shared" ref="I198:I211" si="4">IF(ISTEXT(G198),"No text please",IF(G198&lt;0,"No negatives please",IF(ISBLANK(G198),"Please enter a value",IF(AND(G198=0,ISERROR(FIND("zero",K198))),"Please confirm zero",IF(AND(G198&lt;&gt;0,K198="Confirmed zero"),"Value not zero"," ")))))</f>
        <v xml:space="preserve"> </v>
      </c>
      <c r="J198" s="16"/>
      <c r="K198" s="47"/>
      <c r="L198" s="241"/>
      <c r="M198" s="16"/>
      <c r="N198" s="242"/>
      <c r="O198" s="91"/>
      <c r="P198" s="28"/>
      <c r="Q198" s="28"/>
    </row>
    <row r="199" spans="1:17" ht="15" customHeight="1">
      <c r="A199" s="238"/>
      <c r="B199" s="92"/>
      <c r="C199" s="231" t="s">
        <v>422</v>
      </c>
      <c r="D199" s="65"/>
      <c r="E199" s="66"/>
      <c r="F199" s="230">
        <v>1122</v>
      </c>
      <c r="G199" s="240">
        <v>0</v>
      </c>
      <c r="H199" s="38" t="s">
        <v>300</v>
      </c>
      <c r="I199" s="57" t="str">
        <f t="shared" si="4"/>
        <v xml:space="preserve"> </v>
      </c>
      <c r="J199" s="16"/>
      <c r="K199" s="47" t="s">
        <v>178</v>
      </c>
      <c r="L199" s="241"/>
      <c r="M199" s="16"/>
      <c r="N199" s="242"/>
      <c r="O199" s="91"/>
      <c r="P199" s="28"/>
      <c r="Q199" s="28"/>
    </row>
    <row r="200" spans="1:17" ht="15" customHeight="1">
      <c r="A200" s="238"/>
      <c r="B200" s="92"/>
      <c r="C200" s="231" t="s">
        <v>423</v>
      </c>
      <c r="D200" s="65"/>
      <c r="E200" s="66"/>
      <c r="F200" s="230">
        <v>1123</v>
      </c>
      <c r="G200" s="240">
        <v>80435</v>
      </c>
      <c r="H200" s="38" t="s">
        <v>301</v>
      </c>
      <c r="I200" s="57" t="str">
        <f t="shared" si="4"/>
        <v xml:space="preserve"> </v>
      </c>
      <c r="J200" s="16"/>
      <c r="K200" s="47"/>
      <c r="L200" s="241"/>
      <c r="M200" s="16"/>
      <c r="N200" s="242"/>
      <c r="O200" s="91"/>
      <c r="P200" s="28"/>
      <c r="Q200" s="28"/>
    </row>
    <row r="201" spans="1:17" ht="15" customHeight="1">
      <c r="A201" s="238"/>
      <c r="B201" s="92"/>
      <c r="C201" s="231" t="s">
        <v>424</v>
      </c>
      <c r="D201" s="65"/>
      <c r="E201" s="66"/>
      <c r="F201" s="230">
        <v>1124</v>
      </c>
      <c r="G201" s="240">
        <v>2236248</v>
      </c>
      <c r="H201" s="38" t="s">
        <v>302</v>
      </c>
      <c r="I201" s="57" t="str">
        <f t="shared" si="4"/>
        <v xml:space="preserve"> </v>
      </c>
      <c r="J201" s="16"/>
      <c r="K201" s="47"/>
      <c r="L201" s="241"/>
      <c r="M201" s="16"/>
      <c r="N201" s="242"/>
      <c r="O201" s="91"/>
      <c r="P201" s="28"/>
      <c r="Q201" s="28"/>
    </row>
    <row r="202" spans="1:17" ht="15" customHeight="1">
      <c r="A202" s="238"/>
      <c r="B202" s="92"/>
      <c r="C202" s="231" t="s">
        <v>425</v>
      </c>
      <c r="D202" s="65"/>
      <c r="E202" s="66"/>
      <c r="F202" s="230">
        <v>1125</v>
      </c>
      <c r="G202" s="240">
        <v>281</v>
      </c>
      <c r="H202" s="38" t="s">
        <v>303</v>
      </c>
      <c r="I202" s="57" t="str">
        <f t="shared" si="4"/>
        <v xml:space="preserve"> </v>
      </c>
      <c r="J202" s="16"/>
      <c r="K202" s="47"/>
      <c r="L202" s="241"/>
      <c r="M202" s="16"/>
      <c r="N202" s="242"/>
      <c r="O202" s="91"/>
      <c r="P202" s="28"/>
      <c r="Q202" s="28"/>
    </row>
    <row r="203" spans="1:17" ht="15" customHeight="1">
      <c r="A203" s="238"/>
      <c r="B203" s="92"/>
      <c r="C203" s="231" t="s">
        <v>426</v>
      </c>
      <c r="D203" s="65"/>
      <c r="E203" s="66"/>
      <c r="F203" s="230">
        <v>1126</v>
      </c>
      <c r="G203" s="240">
        <v>106411951</v>
      </c>
      <c r="H203" s="38" t="s">
        <v>304</v>
      </c>
      <c r="I203" s="57" t="str">
        <f t="shared" si="4"/>
        <v xml:space="preserve"> </v>
      </c>
      <c r="J203" s="16"/>
      <c r="K203" s="47"/>
      <c r="L203" s="241"/>
      <c r="M203" s="16"/>
      <c r="N203" s="242"/>
      <c r="O203" s="91"/>
      <c r="P203" s="28"/>
      <c r="Q203" s="28"/>
    </row>
    <row r="204" spans="1:17" ht="15" customHeight="1">
      <c r="A204" s="238"/>
      <c r="B204" s="92"/>
      <c r="C204" s="231" t="s">
        <v>427</v>
      </c>
      <c r="D204" s="65"/>
      <c r="E204" s="66"/>
      <c r="F204" s="230">
        <v>1127</v>
      </c>
      <c r="G204" s="240">
        <v>400485</v>
      </c>
      <c r="H204" s="38" t="s">
        <v>305</v>
      </c>
      <c r="I204" s="57" t="str">
        <f t="shared" si="4"/>
        <v xml:space="preserve"> </v>
      </c>
      <c r="J204" s="16"/>
      <c r="K204" s="47"/>
      <c r="L204" s="241"/>
      <c r="M204" s="16"/>
      <c r="N204" s="242"/>
      <c r="O204" s="91"/>
      <c r="P204" s="28"/>
      <c r="Q204" s="28"/>
    </row>
    <row r="205" spans="1:17" ht="15" customHeight="1">
      <c r="A205" s="238"/>
      <c r="B205" s="92"/>
      <c r="C205" s="231" t="s">
        <v>428</v>
      </c>
      <c r="D205" s="65"/>
      <c r="E205" s="66"/>
      <c r="F205" s="230">
        <v>1128</v>
      </c>
      <c r="G205" s="240">
        <v>7996</v>
      </c>
      <c r="H205" s="38" t="s">
        <v>306</v>
      </c>
      <c r="I205" s="57" t="str">
        <f t="shared" si="4"/>
        <v xml:space="preserve"> </v>
      </c>
      <c r="J205" s="16"/>
      <c r="K205" s="47"/>
      <c r="L205" s="241"/>
      <c r="M205" s="16"/>
      <c r="N205" s="242"/>
      <c r="O205" s="91"/>
      <c r="P205" s="28"/>
      <c r="Q205" s="28"/>
    </row>
    <row r="206" spans="1:17" ht="15" customHeight="1">
      <c r="A206" s="238"/>
      <c r="B206" s="92"/>
      <c r="C206" s="231" t="s">
        <v>429</v>
      </c>
      <c r="D206" s="65"/>
      <c r="E206" s="66"/>
      <c r="F206" s="230">
        <v>1129</v>
      </c>
      <c r="G206" s="240">
        <v>0</v>
      </c>
      <c r="H206" s="38" t="s">
        <v>307</v>
      </c>
      <c r="I206" s="57" t="str">
        <f t="shared" si="4"/>
        <v xml:space="preserve"> </v>
      </c>
      <c r="J206" s="16"/>
      <c r="K206" s="47" t="s">
        <v>178</v>
      </c>
      <c r="L206" s="241"/>
      <c r="M206" s="16"/>
      <c r="N206" s="242"/>
      <c r="O206" s="91"/>
      <c r="P206" s="28"/>
      <c r="Q206" s="28"/>
    </row>
    <row r="207" spans="1:17" ht="15" customHeight="1">
      <c r="A207" s="238"/>
      <c r="B207" s="92"/>
      <c r="C207" s="231" t="s">
        <v>430</v>
      </c>
      <c r="D207" s="65"/>
      <c r="E207" s="66"/>
      <c r="F207" s="230">
        <v>1130</v>
      </c>
      <c r="G207" s="240">
        <v>42473</v>
      </c>
      <c r="H207" s="38" t="s">
        <v>308</v>
      </c>
      <c r="I207" s="57" t="str">
        <f t="shared" si="4"/>
        <v xml:space="preserve"> </v>
      </c>
      <c r="J207" s="16"/>
      <c r="K207" s="47"/>
      <c r="L207" s="241"/>
      <c r="M207" s="16"/>
      <c r="N207" s="242"/>
      <c r="O207" s="91"/>
      <c r="P207" s="28"/>
      <c r="Q207" s="28"/>
    </row>
    <row r="208" spans="1:17" ht="15" customHeight="1">
      <c r="A208" s="238"/>
      <c r="B208" s="92"/>
      <c r="C208" s="231" t="s">
        <v>431</v>
      </c>
      <c r="D208" s="65"/>
      <c r="E208" s="66"/>
      <c r="F208" s="230">
        <v>1131</v>
      </c>
      <c r="G208" s="240">
        <v>33152</v>
      </c>
      <c r="H208" s="38" t="s">
        <v>309</v>
      </c>
      <c r="I208" s="57" t="str">
        <f t="shared" si="4"/>
        <v xml:space="preserve"> </v>
      </c>
      <c r="J208" s="16"/>
      <c r="K208" s="47"/>
      <c r="L208" s="241"/>
      <c r="M208" s="16"/>
      <c r="N208" s="242"/>
      <c r="O208" s="91"/>
      <c r="P208" s="28"/>
      <c r="Q208" s="28"/>
    </row>
    <row r="209" spans="1:17" ht="15" customHeight="1">
      <c r="A209" s="238"/>
      <c r="B209" s="92"/>
      <c r="C209" s="231" t="s">
        <v>432</v>
      </c>
      <c r="D209" s="65"/>
      <c r="E209" s="66"/>
      <c r="F209" s="230">
        <v>1132</v>
      </c>
      <c r="G209" s="240">
        <v>4292809</v>
      </c>
      <c r="H209" s="38" t="s">
        <v>310</v>
      </c>
      <c r="I209" s="57" t="str">
        <f t="shared" si="4"/>
        <v xml:space="preserve"> </v>
      </c>
      <c r="J209" s="16"/>
      <c r="K209" s="47"/>
      <c r="L209" s="241"/>
      <c r="M209" s="16"/>
      <c r="N209" s="242"/>
      <c r="O209" s="91"/>
      <c r="P209" s="28"/>
      <c r="Q209" s="28"/>
    </row>
    <row r="210" spans="1:17" ht="15" customHeight="1">
      <c r="A210" s="238"/>
      <c r="B210" s="92"/>
      <c r="C210" s="231" t="s">
        <v>433</v>
      </c>
      <c r="D210" s="65"/>
      <c r="E210" s="66"/>
      <c r="F210" s="230">
        <v>1133</v>
      </c>
      <c r="G210" s="240">
        <v>0</v>
      </c>
      <c r="H210" s="38" t="s">
        <v>311</v>
      </c>
      <c r="I210" s="57" t="str">
        <f t="shared" si="4"/>
        <v xml:space="preserve"> </v>
      </c>
      <c r="J210" s="16"/>
      <c r="K210" s="47" t="s">
        <v>178</v>
      </c>
      <c r="L210" s="241"/>
      <c r="M210" s="16"/>
      <c r="N210" s="242"/>
      <c r="O210" s="91"/>
      <c r="P210" s="28"/>
      <c r="Q210" s="28"/>
    </row>
    <row r="211" spans="1:17" ht="15" customHeight="1">
      <c r="A211" s="238"/>
      <c r="B211" s="92"/>
      <c r="C211" s="231" t="s">
        <v>434</v>
      </c>
      <c r="D211" s="65"/>
      <c r="E211" s="66"/>
      <c r="F211" s="230">
        <v>1134</v>
      </c>
      <c r="G211" s="240">
        <v>4102</v>
      </c>
      <c r="H211" s="38" t="s">
        <v>364</v>
      </c>
      <c r="I211" s="57" t="str">
        <f t="shared" si="4"/>
        <v xml:space="preserve"> </v>
      </c>
      <c r="J211" s="16"/>
      <c r="K211" s="47"/>
      <c r="L211" s="241"/>
      <c r="M211" s="16"/>
      <c r="N211" s="242"/>
      <c r="O211" s="91"/>
      <c r="P211" s="28"/>
      <c r="Q211" s="28"/>
    </row>
    <row r="212" spans="1:17" ht="15" customHeight="1">
      <c r="A212" s="238"/>
      <c r="B212" s="92"/>
      <c r="C212" s="231" t="s">
        <v>435</v>
      </c>
      <c r="D212" s="65"/>
      <c r="E212" s="66"/>
      <c r="F212" s="230">
        <v>1135</v>
      </c>
      <c r="G212" s="240">
        <v>2853</v>
      </c>
      <c r="H212" s="38" t="s">
        <v>350</v>
      </c>
      <c r="I212" s="57" t="str">
        <f t="shared" ref="I212:I222" si="5">IF(ISTEXT(G212),"No text please",IF(G212&lt;0,"No negatives please",IF(ISBLANK(G212),"Please enter a value",IF(AND(G212=0,ISERROR(FIND("zero",K212))),"Please confirm zero",IF(AND(G212&lt;&gt;0,K212="Confirmed zero"),"Value not zero"," ")))))</f>
        <v xml:space="preserve"> </v>
      </c>
      <c r="J212" s="16"/>
      <c r="K212" s="47"/>
      <c r="L212" s="241"/>
      <c r="M212" s="16"/>
      <c r="N212" s="242"/>
      <c r="O212" s="91"/>
      <c r="P212" s="28"/>
      <c r="Q212" s="28"/>
    </row>
    <row r="213" spans="1:17" ht="15" customHeight="1">
      <c r="A213" s="238"/>
      <c r="B213" s="92"/>
      <c r="C213" s="118" t="s">
        <v>313</v>
      </c>
      <c r="D213" s="65"/>
      <c r="E213" s="66"/>
      <c r="F213" s="230">
        <v>1136</v>
      </c>
      <c r="G213" s="240">
        <v>0</v>
      </c>
      <c r="H213" s="38" t="s">
        <v>312</v>
      </c>
      <c r="I213" s="57" t="str">
        <f t="shared" si="5"/>
        <v xml:space="preserve"> </v>
      </c>
      <c r="J213" s="16"/>
      <c r="K213" s="47" t="s">
        <v>178</v>
      </c>
      <c r="L213" s="241"/>
      <c r="M213" s="16"/>
      <c r="N213" s="242"/>
      <c r="O213" s="91"/>
      <c r="P213" s="28"/>
      <c r="Q213" s="28"/>
    </row>
    <row r="214" spans="1:17" ht="15" customHeight="1">
      <c r="A214" s="238"/>
      <c r="B214" s="92"/>
      <c r="C214" s="118" t="s">
        <v>314</v>
      </c>
      <c r="D214" s="65"/>
      <c r="E214" s="66"/>
      <c r="F214" s="230">
        <v>1137</v>
      </c>
      <c r="G214" s="240">
        <v>0</v>
      </c>
      <c r="H214" s="38" t="s">
        <v>318</v>
      </c>
      <c r="I214" s="57" t="str">
        <f t="shared" si="5"/>
        <v xml:space="preserve"> </v>
      </c>
      <c r="J214" s="16"/>
      <c r="K214" s="47" t="s">
        <v>178</v>
      </c>
      <c r="L214" s="241"/>
      <c r="M214" s="16"/>
      <c r="N214" s="242"/>
      <c r="O214" s="91"/>
      <c r="P214" s="28"/>
      <c r="Q214" s="28"/>
    </row>
    <row r="215" spans="1:17" ht="15" customHeight="1">
      <c r="A215" s="238"/>
      <c r="B215" s="92"/>
      <c r="C215" s="118" t="s">
        <v>315</v>
      </c>
      <c r="D215" s="65"/>
      <c r="E215" s="66"/>
      <c r="F215" s="230">
        <v>1138</v>
      </c>
      <c r="G215" s="240">
        <v>1478331366</v>
      </c>
      <c r="H215" s="38" t="s">
        <v>319</v>
      </c>
      <c r="I215" s="57" t="str">
        <f t="shared" si="5"/>
        <v xml:space="preserve"> </v>
      </c>
      <c r="J215" s="16"/>
      <c r="K215" s="47"/>
      <c r="L215" s="241"/>
      <c r="M215" s="16"/>
      <c r="N215" s="242"/>
      <c r="O215" s="91"/>
      <c r="P215" s="28"/>
      <c r="Q215" s="28"/>
    </row>
    <row r="216" spans="1:17" ht="15" customHeight="1">
      <c r="A216" s="238"/>
      <c r="B216" s="92"/>
      <c r="C216" s="118" t="s">
        <v>316</v>
      </c>
      <c r="D216" s="65"/>
      <c r="E216" s="66"/>
      <c r="F216" s="230">
        <v>1139</v>
      </c>
      <c r="G216" s="240">
        <v>11306778964</v>
      </c>
      <c r="H216" s="38" t="s">
        <v>320</v>
      </c>
      <c r="I216" s="57" t="str">
        <f t="shared" si="5"/>
        <v xml:space="preserve"> </v>
      </c>
      <c r="J216" s="16"/>
      <c r="K216" s="47"/>
      <c r="L216" s="241"/>
      <c r="M216" s="16"/>
      <c r="N216" s="242"/>
      <c r="O216" s="91"/>
      <c r="P216" s="28"/>
      <c r="Q216" s="28"/>
    </row>
    <row r="217" spans="1:17" ht="15" customHeight="1">
      <c r="A217" s="238"/>
      <c r="B217" s="92"/>
      <c r="C217" s="118" t="s">
        <v>317</v>
      </c>
      <c r="D217" s="65"/>
      <c r="E217" s="66"/>
      <c r="F217" s="230">
        <v>1140</v>
      </c>
      <c r="G217" s="240">
        <v>16002249</v>
      </c>
      <c r="H217" s="38" t="s">
        <v>321</v>
      </c>
      <c r="I217" s="57" t="str">
        <f t="shared" si="5"/>
        <v xml:space="preserve"> </v>
      </c>
      <c r="J217" s="16"/>
      <c r="K217" s="47"/>
      <c r="L217" s="241"/>
      <c r="M217" s="16"/>
      <c r="N217" s="242"/>
      <c r="O217" s="91"/>
      <c r="P217" s="28"/>
      <c r="Q217" s="28"/>
    </row>
    <row r="218" spans="1:17" ht="15" customHeight="1">
      <c r="A218" s="238"/>
      <c r="B218" s="92"/>
      <c r="C218" s="118" t="s">
        <v>356</v>
      </c>
      <c r="D218" s="65"/>
      <c r="E218" s="66"/>
      <c r="F218" s="230">
        <v>1141</v>
      </c>
      <c r="G218" s="240">
        <v>5280819</v>
      </c>
      <c r="H218" s="38" t="s">
        <v>322</v>
      </c>
      <c r="I218" s="57" t="str">
        <f t="shared" si="5"/>
        <v xml:space="preserve"> </v>
      </c>
      <c r="J218" s="16"/>
      <c r="K218" s="47"/>
      <c r="L218" s="241"/>
      <c r="M218" s="16"/>
      <c r="N218" s="242"/>
      <c r="O218" s="91"/>
      <c r="P218" s="28"/>
      <c r="Q218" s="28"/>
    </row>
    <row r="219" spans="1:17" ht="15" customHeight="1">
      <c r="A219" s="238"/>
      <c r="B219" s="92"/>
      <c r="C219" s="118" t="s">
        <v>351</v>
      </c>
      <c r="D219" s="65"/>
      <c r="E219" s="66"/>
      <c r="F219" s="230">
        <v>1142</v>
      </c>
      <c r="G219" s="240">
        <v>378954</v>
      </c>
      <c r="H219" s="38" t="s">
        <v>323</v>
      </c>
      <c r="I219" s="57" t="str">
        <f t="shared" si="5"/>
        <v xml:space="preserve"> </v>
      </c>
      <c r="J219" s="16"/>
      <c r="K219" s="47"/>
      <c r="L219" s="241"/>
      <c r="M219" s="16"/>
      <c r="N219" s="242"/>
      <c r="O219" s="91"/>
      <c r="P219" s="28"/>
      <c r="Q219" s="28"/>
    </row>
    <row r="220" spans="1:17" ht="15" customHeight="1">
      <c r="A220" s="238"/>
      <c r="B220" s="92"/>
      <c r="C220" s="118" t="s">
        <v>352</v>
      </c>
      <c r="D220" s="65"/>
      <c r="E220" s="66"/>
      <c r="F220" s="230">
        <v>1143</v>
      </c>
      <c r="G220" s="240">
        <v>911138</v>
      </c>
      <c r="H220" s="38" t="s">
        <v>324</v>
      </c>
      <c r="I220" s="57" t="str">
        <f t="shared" si="5"/>
        <v xml:space="preserve"> </v>
      </c>
      <c r="J220" s="16"/>
      <c r="K220" s="47"/>
      <c r="L220" s="241"/>
      <c r="M220" s="16"/>
      <c r="N220" s="242"/>
      <c r="O220" s="91"/>
      <c r="P220" s="28"/>
      <c r="Q220" s="28"/>
    </row>
    <row r="221" spans="1:17" ht="15" customHeight="1">
      <c r="A221" s="238"/>
      <c r="B221" s="92"/>
      <c r="C221" s="118" t="s">
        <v>353</v>
      </c>
      <c r="D221" s="65"/>
      <c r="E221" s="66"/>
      <c r="F221" s="230">
        <v>1144</v>
      </c>
      <c r="G221" s="240">
        <v>563802</v>
      </c>
      <c r="H221" s="38" t="s">
        <v>277</v>
      </c>
      <c r="I221" s="57" t="str">
        <f t="shared" si="5"/>
        <v xml:space="preserve"> </v>
      </c>
      <c r="J221" s="16"/>
      <c r="K221" s="47"/>
      <c r="L221" s="241"/>
      <c r="M221" s="16"/>
      <c r="N221" s="242"/>
      <c r="O221" s="91"/>
      <c r="P221" s="28"/>
      <c r="Q221" s="28"/>
    </row>
    <row r="222" spans="1:17" ht="15" customHeight="1">
      <c r="A222" s="238"/>
      <c r="B222" s="92"/>
      <c r="C222" s="118" t="s">
        <v>354</v>
      </c>
      <c r="D222" s="65"/>
      <c r="E222" s="66"/>
      <c r="F222" s="230">
        <v>1145</v>
      </c>
      <c r="G222" s="240">
        <v>122003636</v>
      </c>
      <c r="H222" s="38" t="s">
        <v>278</v>
      </c>
      <c r="I222" s="57" t="str">
        <f t="shared" si="5"/>
        <v xml:space="preserve"> </v>
      </c>
      <c r="J222" s="16"/>
      <c r="K222" s="47"/>
      <c r="L222" s="241"/>
      <c r="M222" s="16"/>
      <c r="N222" s="242"/>
      <c r="O222" s="91"/>
      <c r="P222" s="28"/>
      <c r="Q222" s="28"/>
    </row>
    <row r="223" spans="1:17" ht="15" customHeight="1">
      <c r="A223" s="238"/>
      <c r="B223" s="92"/>
      <c r="C223" s="29"/>
      <c r="D223" s="29"/>
      <c r="E223" s="29"/>
      <c r="F223" s="46"/>
      <c r="G223" s="245"/>
      <c r="H223" s="38"/>
      <c r="I223" s="38"/>
      <c r="J223" s="16"/>
      <c r="K223" s="38"/>
      <c r="L223" s="38"/>
      <c r="M223" s="16"/>
      <c r="N223" s="38"/>
      <c r="O223" s="100"/>
      <c r="P223" s="28"/>
      <c r="Q223" s="28"/>
    </row>
    <row r="224" spans="1:17" ht="15" customHeight="1">
      <c r="A224" s="238"/>
      <c r="B224" s="92"/>
      <c r="C224" s="61" t="s">
        <v>534</v>
      </c>
      <c r="D224" s="62"/>
      <c r="E224" s="63"/>
      <c r="F224" s="77" t="s">
        <v>219</v>
      </c>
      <c r="G224" s="245" t="str">
        <f>G$22</f>
        <v>Amount in thousand EUR</v>
      </c>
      <c r="H224" s="38"/>
      <c r="I224" s="44" t="str">
        <f>I$22</f>
        <v>Checks</v>
      </c>
      <c r="J224" s="16"/>
      <c r="K224" s="44" t="str">
        <f>K$22</f>
        <v>Remarks</v>
      </c>
      <c r="L224" s="44" t="str">
        <f>$L$162</f>
        <v>Comments Regarding Data Quality/Availability</v>
      </c>
      <c r="M224" s="16"/>
      <c r="N224" s="44" t="str">
        <f>N$22</f>
        <v>Supervisor Comments</v>
      </c>
      <c r="O224" s="91"/>
      <c r="P224" s="28"/>
      <c r="Q224" s="28"/>
    </row>
    <row r="225" spans="1:17" ht="15" customHeight="1">
      <c r="A225" s="238"/>
      <c r="B225" s="92"/>
      <c r="C225" s="64" t="s">
        <v>628</v>
      </c>
      <c r="D225" s="65"/>
      <c r="E225" s="66"/>
      <c r="F225" s="230">
        <v>1227</v>
      </c>
      <c r="G225" s="240">
        <v>1248949000</v>
      </c>
      <c r="H225" s="38" t="s">
        <v>326</v>
      </c>
      <c r="I225" s="57" t="str">
        <f>IF(ISTEXT(G225),"No text please",IF(G225&lt;0,"No negatives please",IF(ISBLANK(G225),"Please enter a value",IF(AND(G225=0,ISERROR(FIND("zero",K225))),"Please confirm zero",IF(AND(G225&lt;&gt;0,K225="Confirmed zero"),"Value not zero",IF($G$231&lt;SUM($G$232:$G$232),"&lt; 19.d. + 19.e."," "))))))</f>
        <v xml:space="preserve"> </v>
      </c>
      <c r="J225" s="16"/>
      <c r="K225" s="47"/>
      <c r="L225" s="241"/>
      <c r="M225" s="16"/>
      <c r="N225" s="242"/>
      <c r="O225" s="91"/>
      <c r="P225" s="28"/>
      <c r="Q225" s="28"/>
    </row>
    <row r="226" spans="1:17" ht="15" customHeight="1">
      <c r="A226" s="238"/>
      <c r="B226" s="92"/>
      <c r="C226" s="64" t="s">
        <v>629</v>
      </c>
      <c r="D226" s="65"/>
      <c r="E226" s="66"/>
      <c r="F226" s="230">
        <v>1228</v>
      </c>
      <c r="G226" s="240">
        <v>56212426</v>
      </c>
      <c r="H226" s="38" t="s">
        <v>327</v>
      </c>
      <c r="I226" s="57" t="str">
        <f>IF(ISTEXT(G226),"No text please",IF(G226&lt;0,"No negatives please",IF(ISBLANK(G226),"Please enter a value",IF(AND(G226=0,ISERROR(FIND("zero",K226))),"Please confirm zero",IF(AND(G226&lt;&gt;0,K226="Confirmed zero"),"Value not zero",IF($G$231&lt;$G$232,"&gt; 19.c."," "))))))</f>
        <v xml:space="preserve"> </v>
      </c>
      <c r="J226" s="16"/>
      <c r="K226" s="47"/>
      <c r="L226" s="241"/>
      <c r="M226" s="16"/>
      <c r="N226" s="242"/>
      <c r="O226" s="91"/>
      <c r="P226" s="28"/>
      <c r="Q226" s="28"/>
    </row>
    <row r="227" spans="1:17" ht="15" customHeight="1">
      <c r="A227" s="238"/>
      <c r="B227" s="92"/>
      <c r="C227" s="64" t="s">
        <v>630</v>
      </c>
      <c r="D227" s="65"/>
      <c r="E227" s="66"/>
      <c r="F227" s="230">
        <v>1229</v>
      </c>
      <c r="G227" s="272">
        <v>1988576</v>
      </c>
      <c r="H227" s="38" t="s">
        <v>535</v>
      </c>
      <c r="I227" s="57" t="str">
        <f>IF(ISTEXT(G227),"No text please",IF(G227&lt;0,"No negatives please",IF(ISBLANK(G227),"Please enter a value",IF(AND(G227=0,ISERROR(FIND("zero",K227))),"Please confirm zero",IF(AND(G227&lt;&gt;0,K227="Confirmed zero"),"Value not zero"," ")))))</f>
        <v xml:space="preserve"> </v>
      </c>
      <c r="J227" s="16"/>
      <c r="K227" s="47"/>
      <c r="L227" s="241"/>
      <c r="M227" s="16"/>
      <c r="N227" s="242"/>
      <c r="O227" s="91"/>
      <c r="P227" s="28"/>
      <c r="Q227" s="28"/>
    </row>
    <row r="228" spans="1:17" ht="15" customHeight="1">
      <c r="A228" s="238"/>
      <c r="B228" s="92"/>
      <c r="C228" s="29"/>
      <c r="D228" s="29"/>
      <c r="E228" s="29"/>
      <c r="F228" s="46"/>
      <c r="G228" s="40"/>
      <c r="H228" s="38"/>
      <c r="I228" s="38"/>
      <c r="J228" s="16"/>
      <c r="K228" s="38"/>
      <c r="L228" s="38"/>
      <c r="M228" s="16"/>
      <c r="N228" s="38"/>
      <c r="O228" s="100"/>
      <c r="P228" s="28"/>
      <c r="Q228" s="28"/>
    </row>
    <row r="229" spans="1:17" ht="15" customHeight="1">
      <c r="A229" s="238"/>
      <c r="B229" s="92"/>
      <c r="C229" s="61" t="s">
        <v>533</v>
      </c>
      <c r="D229" s="62"/>
      <c r="E229" s="63"/>
      <c r="F229" s="77" t="s">
        <v>219</v>
      </c>
      <c r="G229" s="40" t="str">
        <f>G$22</f>
        <v>Amount in thousand EUR</v>
      </c>
      <c r="H229" s="38"/>
      <c r="I229" s="44" t="str">
        <f>I$22</f>
        <v>Checks</v>
      </c>
      <c r="J229" s="16"/>
      <c r="K229" s="44" t="str">
        <f>K$22</f>
        <v>Remarks</v>
      </c>
      <c r="L229" s="44" t="str">
        <f>$L$162</f>
        <v>Comments Regarding Data Quality/Availability</v>
      </c>
      <c r="M229" s="16"/>
      <c r="N229" s="44" t="str">
        <f>N$22</f>
        <v>Supervisor Comments</v>
      </c>
      <c r="O229" s="91"/>
      <c r="P229" s="28"/>
      <c r="Q229" s="28"/>
    </row>
    <row r="230" spans="1:17" ht="15" customHeight="1">
      <c r="A230" s="238"/>
      <c r="B230" s="92"/>
      <c r="C230" s="64" t="s">
        <v>325</v>
      </c>
      <c r="D230" s="65"/>
      <c r="E230" s="66"/>
      <c r="F230" s="230">
        <v>1146</v>
      </c>
      <c r="G230" s="272">
        <v>11620326</v>
      </c>
      <c r="H230" s="38" t="s">
        <v>279</v>
      </c>
      <c r="I230" s="57" t="str">
        <f>IF(ISTEXT(G230),"No text please",IF(G230&lt;0,"No negatives please",IF(ISBLANK(G230),"Please enter a value",IF(AND(G230=0,ISERROR(FIND("zero",K230))),"Please confirm zero",IF(AND(G230&lt;&gt;0,K230="Confirmed zero"),"Value not zero"," ")))))</f>
        <v xml:space="preserve"> </v>
      </c>
      <c r="J230" s="16"/>
      <c r="K230" s="47"/>
      <c r="L230" s="241"/>
      <c r="M230" s="16"/>
      <c r="N230" s="242"/>
      <c r="O230" s="91"/>
      <c r="P230" s="28"/>
      <c r="Q230" s="28"/>
    </row>
    <row r="231" spans="1:17" ht="15" customHeight="1">
      <c r="A231" s="238"/>
      <c r="B231" s="92"/>
      <c r="C231" s="64" t="s">
        <v>637</v>
      </c>
      <c r="D231" s="65"/>
      <c r="E231" s="66"/>
      <c r="F231" s="230">
        <v>1148</v>
      </c>
      <c r="G231" s="273">
        <v>87487803</v>
      </c>
      <c r="H231" s="38" t="s">
        <v>280</v>
      </c>
      <c r="I231" s="57" t="str">
        <f>IF(ISTEXT(G231),"No text please",IF(G231&lt;0,"No negatives please",IF(ISBLANK(G231),"Please enter a value",IF(AND(G231=0,ISERROR(FIND("zero",K231))),"Please confirm zero",IF(AND(G231&lt;&gt;0,K231="Confirmed zero"),"Value not zero",IF($G$231&lt;$G$232,"&lt; 20.c.(1)"," "))))))</f>
        <v xml:space="preserve"> </v>
      </c>
      <c r="J231" s="16"/>
      <c r="K231" s="47"/>
      <c r="L231" s="241"/>
      <c r="M231" s="16"/>
      <c r="N231" s="242"/>
      <c r="O231" s="91"/>
      <c r="P231" s="28"/>
      <c r="Q231" s="28"/>
    </row>
    <row r="232" spans="1:17" ht="15" customHeight="1">
      <c r="A232" s="238"/>
      <c r="B232" s="92"/>
      <c r="C232" s="231" t="s">
        <v>498</v>
      </c>
      <c r="D232" s="65"/>
      <c r="E232" s="66"/>
      <c r="F232" s="230">
        <v>1149</v>
      </c>
      <c r="G232" s="272">
        <v>8571453</v>
      </c>
      <c r="H232" s="38" t="s">
        <v>636</v>
      </c>
      <c r="I232" s="57" t="str">
        <f>IF(ISTEXT(G232),"No text please",IF(G232&lt;0,"No negatives please",IF(ISBLANK(G232),"Please enter a value",IF(AND(G232=0,ISERROR(FIND("zero",K232))),"Please confirm zero",IF(AND(G232&lt;&gt;0,K232="Confirmed zero"),"Value not zero",IF($G$231&lt;$G$232,"&gt; 20.c."," "))))))</f>
        <v xml:space="preserve"> </v>
      </c>
      <c r="J232" s="16"/>
      <c r="K232" s="47"/>
      <c r="L232" s="241"/>
      <c r="M232" s="16"/>
      <c r="N232" s="242"/>
      <c r="O232" s="91"/>
      <c r="P232" s="28"/>
      <c r="Q232" s="28"/>
    </row>
    <row r="233" spans="1:17" ht="15" customHeight="1">
      <c r="A233" s="238"/>
      <c r="B233" s="92"/>
      <c r="C233" s="29"/>
      <c r="D233" s="29"/>
      <c r="E233" s="29"/>
      <c r="F233" s="46"/>
      <c r="G233" s="245"/>
      <c r="H233" s="38"/>
      <c r="I233" s="38"/>
      <c r="J233" s="16"/>
      <c r="K233" s="38"/>
      <c r="L233" s="38"/>
      <c r="M233" s="16"/>
      <c r="N233" s="38"/>
      <c r="O233" s="100"/>
      <c r="P233" s="28"/>
      <c r="Q233" s="28"/>
    </row>
    <row r="234" spans="1:17" ht="15" customHeight="1">
      <c r="A234" s="238"/>
      <c r="B234" s="92"/>
      <c r="C234" s="61" t="s">
        <v>536</v>
      </c>
      <c r="D234" s="62"/>
      <c r="E234" s="63"/>
      <c r="F234" s="77" t="s">
        <v>219</v>
      </c>
      <c r="G234" s="245" t="str">
        <f>G$22</f>
        <v>Amount in thousand EUR</v>
      </c>
      <c r="H234" s="38"/>
      <c r="I234" s="44" t="str">
        <f>I$22</f>
        <v>Checks</v>
      </c>
      <c r="J234" s="16"/>
      <c r="K234" s="44" t="str">
        <f>K$22</f>
        <v>Remarks</v>
      </c>
      <c r="L234" s="44" t="str">
        <f>$L$162</f>
        <v>Comments Regarding Data Quality/Availability</v>
      </c>
      <c r="M234" s="16"/>
      <c r="N234" s="44" t="str">
        <f>N$22</f>
        <v>Supervisor Comments</v>
      </c>
      <c r="O234" s="91"/>
      <c r="P234" s="28"/>
      <c r="Q234" s="28"/>
    </row>
    <row r="235" spans="1:17" ht="15" customHeight="1">
      <c r="A235" s="238"/>
      <c r="B235" s="92"/>
      <c r="C235" s="64" t="s">
        <v>499</v>
      </c>
      <c r="D235" s="65"/>
      <c r="E235" s="66"/>
      <c r="F235" s="49"/>
      <c r="G235" s="48"/>
      <c r="H235" s="38"/>
      <c r="I235" s="48"/>
      <c r="J235" s="16"/>
      <c r="K235" s="48"/>
      <c r="L235" s="48"/>
      <c r="M235" s="41"/>
      <c r="N235" s="48"/>
      <c r="O235" s="91"/>
      <c r="P235" s="28"/>
      <c r="Q235" s="28"/>
    </row>
    <row r="236" spans="1:17" ht="15" customHeight="1">
      <c r="A236" s="238"/>
      <c r="B236" s="92"/>
      <c r="C236" s="231" t="s">
        <v>500</v>
      </c>
      <c r="D236" s="65"/>
      <c r="E236" s="66"/>
      <c r="F236" s="54">
        <v>1178</v>
      </c>
      <c r="G236" s="272">
        <v>2463790</v>
      </c>
      <c r="H236" s="38" t="s">
        <v>537</v>
      </c>
      <c r="I236" s="57" t="str">
        <f t="shared" ref="I236:I241" si="6">IF(ISTEXT(G236),"No text please",IF(G236&lt;0,"No negatives please",IF(ISBLANK(G236),"Please enter a value",IF(AND(G236=0,ISERROR(FIND("zero",K236))),"Please confirm zero",IF(AND(G236&lt;&gt;0,K236="Confirmed zero"),"Value not zero"," ")))))</f>
        <v xml:space="preserve"> </v>
      </c>
      <c r="J236" s="16"/>
      <c r="K236" s="47"/>
      <c r="L236" s="241"/>
      <c r="M236" s="16"/>
      <c r="N236" s="242"/>
      <c r="O236" s="91"/>
      <c r="P236" s="28"/>
      <c r="Q236" s="28"/>
    </row>
    <row r="237" spans="1:17" ht="15" customHeight="1">
      <c r="A237" s="238"/>
      <c r="B237" s="92"/>
      <c r="C237" s="231" t="s">
        <v>501</v>
      </c>
      <c r="D237" s="65"/>
      <c r="E237" s="66"/>
      <c r="F237" s="54">
        <v>1179</v>
      </c>
      <c r="G237" s="272">
        <v>295321</v>
      </c>
      <c r="H237" s="38" t="s">
        <v>538</v>
      </c>
      <c r="I237" s="57" t="str">
        <f t="shared" si="6"/>
        <v xml:space="preserve"> </v>
      </c>
      <c r="J237" s="16"/>
      <c r="K237" s="47"/>
      <c r="L237" s="241"/>
      <c r="M237" s="16"/>
      <c r="N237" s="242"/>
      <c r="O237" s="91"/>
      <c r="P237" s="28"/>
      <c r="Q237" s="28"/>
    </row>
    <row r="238" spans="1:17" ht="15" customHeight="1">
      <c r="A238" s="238"/>
      <c r="B238" s="92"/>
      <c r="C238" s="231" t="s">
        <v>502</v>
      </c>
      <c r="D238" s="65"/>
      <c r="E238" s="66"/>
      <c r="F238" s="54">
        <v>1180</v>
      </c>
      <c r="G238" s="240">
        <v>5386864</v>
      </c>
      <c r="H238" s="38" t="s">
        <v>539</v>
      </c>
      <c r="I238" s="57" t="str">
        <f t="shared" si="6"/>
        <v xml:space="preserve"> </v>
      </c>
      <c r="J238" s="16"/>
      <c r="K238" s="47"/>
      <c r="L238" s="241"/>
      <c r="M238" s="16"/>
      <c r="N238" s="242"/>
      <c r="O238" s="91"/>
      <c r="P238" s="28"/>
      <c r="Q238" s="28"/>
    </row>
    <row r="239" spans="1:17" ht="15" customHeight="1">
      <c r="A239" s="238"/>
      <c r="B239" s="92"/>
      <c r="C239" s="231" t="s">
        <v>503</v>
      </c>
      <c r="D239" s="65"/>
      <c r="E239" s="66"/>
      <c r="F239" s="54">
        <v>1181</v>
      </c>
      <c r="G239" s="240">
        <v>1843400</v>
      </c>
      <c r="H239" s="38" t="s">
        <v>540</v>
      </c>
      <c r="I239" s="57" t="str">
        <f t="shared" si="6"/>
        <v xml:space="preserve"> </v>
      </c>
      <c r="J239" s="16"/>
      <c r="K239" s="47"/>
      <c r="L239" s="241"/>
      <c r="M239" s="16"/>
      <c r="N239" s="242"/>
      <c r="O239" s="91"/>
      <c r="P239" s="28"/>
      <c r="Q239" s="28"/>
    </row>
    <row r="240" spans="1:17" ht="15" customHeight="1">
      <c r="A240" s="238"/>
      <c r="B240" s="92"/>
      <c r="C240" s="231" t="s">
        <v>504</v>
      </c>
      <c r="D240" s="65"/>
      <c r="E240" s="66"/>
      <c r="F240" s="54">
        <v>1182</v>
      </c>
      <c r="G240" s="240">
        <v>0</v>
      </c>
      <c r="H240" s="38" t="s">
        <v>541</v>
      </c>
      <c r="I240" s="57" t="str">
        <f t="shared" si="6"/>
        <v xml:space="preserve"> </v>
      </c>
      <c r="J240" s="16"/>
      <c r="K240" s="47" t="s">
        <v>178</v>
      </c>
      <c r="L240" s="241"/>
      <c r="M240" s="16"/>
      <c r="N240" s="242"/>
      <c r="O240" s="91"/>
      <c r="P240" s="28"/>
      <c r="Q240" s="28"/>
    </row>
    <row r="241" spans="1:17" ht="15" customHeight="1">
      <c r="A241" s="238"/>
      <c r="B241" s="92"/>
      <c r="C241" s="231" t="s">
        <v>632</v>
      </c>
      <c r="D241" s="65"/>
      <c r="E241" s="66"/>
      <c r="F241" s="54">
        <v>1183</v>
      </c>
      <c r="G241" s="240">
        <v>6366150</v>
      </c>
      <c r="H241" s="38" t="s">
        <v>542</v>
      </c>
      <c r="I241" s="57" t="str">
        <f t="shared" si="6"/>
        <v xml:space="preserve"> </v>
      </c>
      <c r="J241" s="16"/>
      <c r="K241" s="47"/>
      <c r="L241" s="241"/>
      <c r="M241" s="16"/>
      <c r="N241" s="242"/>
      <c r="O241" s="91"/>
      <c r="P241" s="28"/>
      <c r="Q241" s="28"/>
    </row>
    <row r="242" spans="1:17" ht="15" customHeight="1">
      <c r="A242" s="238"/>
      <c r="B242" s="92"/>
      <c r="C242" s="64" t="s">
        <v>505</v>
      </c>
      <c r="D242" s="65"/>
      <c r="E242" s="66"/>
      <c r="F242" s="49"/>
      <c r="G242" s="48"/>
      <c r="H242" s="38"/>
      <c r="I242" s="48"/>
      <c r="J242" s="16"/>
      <c r="K242" s="48"/>
      <c r="L242" s="48"/>
      <c r="M242" s="41"/>
      <c r="N242" s="48"/>
      <c r="O242" s="91"/>
      <c r="P242" s="28"/>
      <c r="Q242" s="28"/>
    </row>
    <row r="243" spans="1:17" ht="15" customHeight="1">
      <c r="A243" s="238"/>
      <c r="B243" s="92"/>
      <c r="C243" s="231" t="s">
        <v>506</v>
      </c>
      <c r="D243" s="65"/>
      <c r="E243" s="66"/>
      <c r="F243" s="54">
        <v>1184</v>
      </c>
      <c r="G243" s="240">
        <v>27725161</v>
      </c>
      <c r="H243" s="38" t="s">
        <v>543</v>
      </c>
      <c r="I243" s="57" t="str">
        <f t="shared" ref="I243:I246" si="7">IF(ISTEXT(G243),"No text please",IF(G243&lt;0,"No negatives please",IF(ISBLANK(G243),"Please enter a value",IF(AND(G243=0,ISERROR(FIND("zero",K243))),"Please confirm zero",IF(AND(G243&lt;&gt;0,K243="Confirmed zero"),"Value not zero"," ")))))</f>
        <v xml:space="preserve"> </v>
      </c>
      <c r="J243" s="16"/>
      <c r="K243" s="47"/>
      <c r="L243" s="241"/>
      <c r="M243" s="16"/>
      <c r="N243" s="242"/>
      <c r="O243" s="91"/>
      <c r="P243" s="28"/>
      <c r="Q243" s="28"/>
    </row>
    <row r="244" spans="1:17" ht="15" customHeight="1">
      <c r="A244" s="238"/>
      <c r="B244" s="92"/>
      <c r="C244" s="231" t="s">
        <v>507</v>
      </c>
      <c r="D244" s="65"/>
      <c r="E244" s="66"/>
      <c r="F244" s="54">
        <v>1185</v>
      </c>
      <c r="G244" s="240">
        <v>12871033</v>
      </c>
      <c r="H244" s="38" t="s">
        <v>544</v>
      </c>
      <c r="I244" s="57" t="str">
        <f t="shared" si="7"/>
        <v xml:space="preserve"> </v>
      </c>
      <c r="J244" s="16"/>
      <c r="K244" s="47"/>
      <c r="L244" s="241"/>
      <c r="M244" s="16"/>
      <c r="N244" s="242"/>
      <c r="O244" s="91"/>
      <c r="P244" s="28"/>
      <c r="Q244" s="28"/>
    </row>
    <row r="245" spans="1:17" ht="15" customHeight="1">
      <c r="A245" s="238"/>
      <c r="B245" s="92"/>
      <c r="C245" s="231" t="s">
        <v>508</v>
      </c>
      <c r="D245" s="65"/>
      <c r="E245" s="66"/>
      <c r="F245" s="54">
        <v>1186</v>
      </c>
      <c r="G245" s="240">
        <v>32777286</v>
      </c>
      <c r="H245" s="38" t="s">
        <v>545</v>
      </c>
      <c r="I245" s="57" t="str">
        <f t="shared" si="7"/>
        <v xml:space="preserve"> </v>
      </c>
      <c r="J245" s="16"/>
      <c r="K245" s="47"/>
      <c r="L245" s="241"/>
      <c r="M245" s="16"/>
      <c r="N245" s="242"/>
      <c r="O245" s="91"/>
      <c r="P245" s="28"/>
      <c r="Q245" s="28"/>
    </row>
    <row r="246" spans="1:17" ht="15" customHeight="1">
      <c r="A246" s="238"/>
      <c r="B246" s="92"/>
      <c r="C246" s="231" t="s">
        <v>509</v>
      </c>
      <c r="D246" s="65"/>
      <c r="E246" s="66"/>
      <c r="F246" s="54">
        <v>1187</v>
      </c>
      <c r="G246" s="240">
        <v>11417481</v>
      </c>
      <c r="H246" s="38" t="s">
        <v>546</v>
      </c>
      <c r="I246" s="57" t="str">
        <f t="shared" si="7"/>
        <v xml:space="preserve"> </v>
      </c>
      <c r="J246" s="16"/>
      <c r="K246" s="47"/>
      <c r="L246" s="241"/>
      <c r="M246" s="16"/>
      <c r="N246" s="242"/>
      <c r="O246" s="91"/>
      <c r="P246" s="28"/>
      <c r="Q246" s="28"/>
    </row>
    <row r="247" spans="1:17" ht="15" customHeight="1">
      <c r="A247" s="238"/>
      <c r="B247" s="92"/>
      <c r="C247" s="64" t="s">
        <v>510</v>
      </c>
      <c r="D247" s="65"/>
      <c r="E247" s="66"/>
      <c r="F247" s="49"/>
      <c r="G247" s="48"/>
      <c r="H247" s="38"/>
      <c r="I247" s="48"/>
      <c r="J247" s="16"/>
      <c r="K247" s="48"/>
      <c r="L247" s="48"/>
      <c r="M247" s="41"/>
      <c r="N247" s="48"/>
      <c r="O247" s="91"/>
      <c r="P247" s="28"/>
      <c r="Q247" s="28"/>
    </row>
    <row r="248" spans="1:17" ht="15" customHeight="1">
      <c r="A248" s="238"/>
      <c r="B248" s="92"/>
      <c r="C248" s="231" t="s">
        <v>511</v>
      </c>
      <c r="D248" s="65"/>
      <c r="E248" s="66"/>
      <c r="F248" s="54">
        <v>1188</v>
      </c>
      <c r="G248" s="272">
        <v>9798262</v>
      </c>
      <c r="H248" s="38" t="s">
        <v>547</v>
      </c>
      <c r="I248" s="57" t="str">
        <f t="shared" ref="I248:I249" si="8">IF(ISTEXT(G248),"No text please",IF(G248&lt;0,"No negatives please",IF(ISBLANK(G248),"Please enter a value",IF(AND(G248=0,ISERROR(FIND("zero",K248))),"Please confirm zero",IF(AND(G248&lt;&gt;0,K248="Confirmed zero"),"Value not zero"," ")))))</f>
        <v xml:space="preserve"> </v>
      </c>
      <c r="J248" s="16"/>
      <c r="K248" s="47"/>
      <c r="L248" s="241"/>
      <c r="M248" s="16"/>
      <c r="N248" s="242"/>
      <c r="O248" s="91"/>
      <c r="P248" s="28"/>
      <c r="Q248" s="28"/>
    </row>
    <row r="249" spans="1:17" ht="15" customHeight="1">
      <c r="A249" s="238"/>
      <c r="B249" s="92"/>
      <c r="C249" s="231" t="s">
        <v>512</v>
      </c>
      <c r="D249" s="65"/>
      <c r="E249" s="66"/>
      <c r="F249" s="54">
        <v>1189</v>
      </c>
      <c r="G249" s="272">
        <v>1034185</v>
      </c>
      <c r="H249" s="38" t="s">
        <v>548</v>
      </c>
      <c r="I249" s="57" t="str">
        <f t="shared" si="8"/>
        <v xml:space="preserve"> </v>
      </c>
      <c r="J249" s="16"/>
      <c r="K249" s="47"/>
      <c r="L249" s="241"/>
      <c r="M249" s="16"/>
      <c r="N249" s="242"/>
      <c r="O249" s="91"/>
      <c r="P249" s="28"/>
      <c r="Q249" s="28"/>
    </row>
    <row r="250" spans="1:17" ht="15" customHeight="1">
      <c r="A250" s="238"/>
      <c r="B250" s="92"/>
      <c r="C250" s="252" t="s">
        <v>513</v>
      </c>
      <c r="D250" s="253"/>
      <c r="E250" s="254"/>
      <c r="F250" s="49"/>
      <c r="G250" s="48"/>
      <c r="H250" s="38"/>
      <c r="I250" s="48"/>
      <c r="J250" s="16"/>
      <c r="K250" s="48"/>
      <c r="L250" s="48"/>
      <c r="M250" s="41"/>
      <c r="N250" s="48"/>
      <c r="O250" s="91"/>
      <c r="P250" s="28"/>
      <c r="Q250" s="28"/>
    </row>
    <row r="251" spans="1:17" ht="15" customHeight="1">
      <c r="A251" s="238"/>
      <c r="B251" s="92"/>
      <c r="C251" s="231" t="s">
        <v>506</v>
      </c>
      <c r="D251" s="65"/>
      <c r="E251" s="66"/>
      <c r="F251" s="54">
        <v>1190</v>
      </c>
      <c r="G251" s="240">
        <v>31655260</v>
      </c>
      <c r="H251" s="38" t="s">
        <v>549</v>
      </c>
      <c r="I251" s="57" t="str">
        <f t="shared" ref="I251:I254" si="9">IF(ISTEXT(G251),"No text please",IF(G251&lt;0,"No negatives please",IF(ISBLANK(G251),"Please enter a value",IF(AND(G251=0,ISERROR(FIND("zero",K251))),"Please confirm zero",IF(AND(G251&lt;&gt;0,K251="Confirmed zero"),"Value not zero"," ")))))</f>
        <v xml:space="preserve"> </v>
      </c>
      <c r="J251" s="16"/>
      <c r="K251" s="47"/>
      <c r="L251" s="241"/>
      <c r="M251" s="16"/>
      <c r="N251" s="242"/>
      <c r="O251" s="91"/>
      <c r="P251" s="28"/>
      <c r="Q251" s="28"/>
    </row>
    <row r="252" spans="1:17" ht="15" customHeight="1">
      <c r="A252" s="238"/>
      <c r="B252" s="92"/>
      <c r="C252" s="231" t="s">
        <v>507</v>
      </c>
      <c r="D252" s="65"/>
      <c r="E252" s="66"/>
      <c r="F252" s="54">
        <v>1191</v>
      </c>
      <c r="G252" s="240">
        <v>12986698</v>
      </c>
      <c r="H252" s="38" t="s">
        <v>550</v>
      </c>
      <c r="I252" s="57" t="str">
        <f t="shared" si="9"/>
        <v xml:space="preserve"> </v>
      </c>
      <c r="J252" s="16"/>
      <c r="K252" s="47"/>
      <c r="L252" s="241"/>
      <c r="M252" s="16"/>
      <c r="N252" s="242"/>
      <c r="O252" s="91"/>
      <c r="P252" s="28"/>
      <c r="Q252" s="28"/>
    </row>
    <row r="253" spans="1:17" ht="15" customHeight="1">
      <c r="A253" s="238"/>
      <c r="B253" s="92"/>
      <c r="C253" s="231" t="s">
        <v>514</v>
      </c>
      <c r="D253" s="65"/>
      <c r="E253" s="66"/>
      <c r="F253" s="54">
        <v>1192</v>
      </c>
      <c r="G253" s="240">
        <v>38812948</v>
      </c>
      <c r="H253" s="38" t="s">
        <v>551</v>
      </c>
      <c r="I253" s="57" t="str">
        <f t="shared" si="9"/>
        <v xml:space="preserve"> </v>
      </c>
      <c r="J253" s="16"/>
      <c r="K253" s="47"/>
      <c r="L253" s="241"/>
      <c r="M253" s="16"/>
      <c r="N253" s="242"/>
      <c r="O253" s="91"/>
      <c r="P253" s="28"/>
      <c r="Q253" s="28"/>
    </row>
    <row r="254" spans="1:17" ht="15" customHeight="1">
      <c r="A254" s="238"/>
      <c r="B254" s="92"/>
      <c r="C254" s="231" t="s">
        <v>515</v>
      </c>
      <c r="D254" s="65"/>
      <c r="E254" s="66"/>
      <c r="F254" s="54">
        <v>1193</v>
      </c>
      <c r="G254" s="240">
        <v>6856751</v>
      </c>
      <c r="H254" s="38" t="s">
        <v>552</v>
      </c>
      <c r="I254" s="57" t="str">
        <f t="shared" si="9"/>
        <v xml:space="preserve"> </v>
      </c>
      <c r="J254" s="16"/>
      <c r="K254" s="47"/>
      <c r="L254" s="241"/>
      <c r="M254" s="16"/>
      <c r="N254" s="242"/>
      <c r="O254" s="91"/>
      <c r="P254" s="28"/>
      <c r="Q254" s="28"/>
    </row>
    <row r="255" spans="1:17" ht="15" customHeight="1">
      <c r="A255" s="238"/>
      <c r="B255" s="92"/>
      <c r="C255" s="64" t="s">
        <v>516</v>
      </c>
      <c r="D255" s="65"/>
      <c r="E255" s="66"/>
      <c r="F255" s="49"/>
      <c r="G255" s="48"/>
      <c r="H255" s="38"/>
      <c r="I255" s="48"/>
      <c r="J255" s="16"/>
      <c r="K255" s="48"/>
      <c r="L255" s="48"/>
      <c r="M255" s="41"/>
      <c r="N255" s="48"/>
      <c r="O255" s="91"/>
      <c r="P255" s="28"/>
      <c r="Q255" s="28"/>
    </row>
    <row r="256" spans="1:17" ht="15" customHeight="1">
      <c r="A256" s="238"/>
      <c r="B256" s="92"/>
      <c r="C256" s="231" t="s">
        <v>506</v>
      </c>
      <c r="D256" s="65"/>
      <c r="E256" s="66"/>
      <c r="F256" s="54">
        <v>1194</v>
      </c>
      <c r="G256" s="272">
        <v>93743</v>
      </c>
      <c r="H256" s="38" t="s">
        <v>553</v>
      </c>
      <c r="I256" s="57" t="str">
        <f t="shared" ref="I256:I259" si="10">IF(ISTEXT(G256),"No text please",IF(G256&lt;0,"No negatives please",IF(ISBLANK(G256),"Please enter a value",IF(AND(G256=0,ISERROR(FIND("zero",K256))),"Please confirm zero",IF(AND(G256&lt;&gt;0,K256="Confirmed zero"),"Value not zero"," ")))))</f>
        <v xml:space="preserve"> </v>
      </c>
      <c r="J256" s="16"/>
      <c r="K256" s="47"/>
      <c r="L256" s="241"/>
      <c r="M256" s="16"/>
      <c r="N256" s="242"/>
      <c r="O256" s="91"/>
      <c r="P256" s="28"/>
      <c r="Q256" s="28"/>
    </row>
    <row r="257" spans="1:17" ht="15" customHeight="1">
      <c r="A257" s="238"/>
      <c r="B257" s="92"/>
      <c r="C257" s="231" t="s">
        <v>507</v>
      </c>
      <c r="D257" s="65"/>
      <c r="E257" s="66"/>
      <c r="F257" s="54">
        <v>1195</v>
      </c>
      <c r="G257" s="272">
        <v>11906</v>
      </c>
      <c r="H257" s="38" t="s">
        <v>554</v>
      </c>
      <c r="I257" s="57" t="str">
        <f t="shared" si="10"/>
        <v xml:space="preserve"> </v>
      </c>
      <c r="J257" s="16"/>
      <c r="K257" s="47"/>
      <c r="L257" s="241"/>
      <c r="M257" s="16"/>
      <c r="N257" s="242"/>
      <c r="O257" s="91"/>
      <c r="P257" s="28"/>
      <c r="Q257" s="28"/>
    </row>
    <row r="258" spans="1:17" ht="15" customHeight="1">
      <c r="A258" s="238"/>
      <c r="B258" s="92"/>
      <c r="C258" s="231" t="s">
        <v>514</v>
      </c>
      <c r="D258" s="65"/>
      <c r="E258" s="66"/>
      <c r="F258" s="54">
        <v>1196</v>
      </c>
      <c r="G258" s="272">
        <v>393316</v>
      </c>
      <c r="H258" s="38" t="s">
        <v>555</v>
      </c>
      <c r="I258" s="57" t="str">
        <f t="shared" si="10"/>
        <v xml:space="preserve"> </v>
      </c>
      <c r="J258" s="16"/>
      <c r="K258" s="47"/>
      <c r="L258" s="241"/>
      <c r="M258" s="16"/>
      <c r="N258" s="242"/>
      <c r="O258" s="91"/>
      <c r="P258" s="28"/>
      <c r="Q258" s="28"/>
    </row>
    <row r="259" spans="1:17" ht="15" customHeight="1">
      <c r="A259" s="238"/>
      <c r="B259" s="92"/>
      <c r="C259" s="231" t="s">
        <v>515</v>
      </c>
      <c r="D259" s="65"/>
      <c r="E259" s="66"/>
      <c r="F259" s="54">
        <v>1197</v>
      </c>
      <c r="G259" s="272">
        <v>49187</v>
      </c>
      <c r="H259" s="38" t="s">
        <v>556</v>
      </c>
      <c r="I259" s="57" t="str">
        <f t="shared" si="10"/>
        <v xml:space="preserve"> </v>
      </c>
      <c r="J259" s="16"/>
      <c r="K259" s="47"/>
      <c r="L259" s="241"/>
      <c r="M259" s="16"/>
      <c r="N259" s="242"/>
      <c r="O259" s="91"/>
      <c r="P259" s="28"/>
      <c r="Q259" s="28"/>
    </row>
    <row r="260" spans="1:17" ht="20.100000000000001" customHeight="1">
      <c r="A260" s="238"/>
      <c r="B260" s="211"/>
      <c r="C260" s="121"/>
      <c r="D260" s="121"/>
      <c r="E260" s="121"/>
      <c r="F260" s="212"/>
      <c r="G260" s="121"/>
      <c r="H260" s="223"/>
      <c r="I260" s="121"/>
      <c r="J260" s="123"/>
      <c r="K260" s="123"/>
      <c r="L260" s="121"/>
      <c r="M260" s="123"/>
      <c r="N260" s="121"/>
      <c r="O260" s="204"/>
      <c r="P260" s="28"/>
      <c r="Q260" s="28"/>
    </row>
    <row r="261" spans="1:17" customFormat="1" ht="20.100000000000001" customHeight="1">
      <c r="A261" s="238"/>
      <c r="B261" s="69" t="s">
        <v>187</v>
      </c>
      <c r="C261" s="70"/>
      <c r="D261" s="70"/>
      <c r="E261" s="70"/>
      <c r="F261" s="70"/>
      <c r="G261" s="70"/>
      <c r="H261" s="87"/>
      <c r="I261" s="70"/>
      <c r="J261" s="70"/>
      <c r="K261" s="70"/>
      <c r="L261" s="70"/>
      <c r="M261" s="70"/>
      <c r="N261" s="70"/>
      <c r="O261" s="71"/>
      <c r="P261" s="238"/>
    </row>
    <row r="262" spans="1:17" customFormat="1" ht="20.100000000000001" customHeight="1">
      <c r="A262" s="238"/>
      <c r="B262" s="224"/>
      <c r="C262" s="225"/>
      <c r="D262" s="225"/>
      <c r="E262" s="227"/>
      <c r="F262" s="226"/>
      <c r="G262" s="227"/>
      <c r="H262" s="228"/>
      <c r="I262" s="227"/>
      <c r="J262" s="227"/>
      <c r="K262" s="227"/>
      <c r="L262" s="227"/>
      <c r="M262" s="227"/>
      <c r="N262" s="227"/>
      <c r="O262" s="229"/>
      <c r="P262" s="238"/>
    </row>
    <row r="263" spans="1:17" customFormat="1" ht="15" customHeight="1">
      <c r="A263" s="238"/>
      <c r="B263" s="101"/>
      <c r="C263" s="17"/>
      <c r="D263" s="17"/>
      <c r="E263" s="40" t="s">
        <v>199</v>
      </c>
      <c r="F263" s="40"/>
      <c r="G263" s="42" t="s">
        <v>199</v>
      </c>
      <c r="H263" s="88"/>
      <c r="I263" s="44"/>
      <c r="J263" s="6"/>
      <c r="K263" s="6"/>
      <c r="L263" s="17"/>
      <c r="M263" s="6"/>
      <c r="N263" s="6"/>
      <c r="O263" s="102"/>
      <c r="P263" s="238"/>
    </row>
    <row r="264" spans="1:17" customFormat="1" ht="15" customHeight="1">
      <c r="A264" s="238"/>
      <c r="B264" s="101"/>
      <c r="C264" s="79" t="s">
        <v>578</v>
      </c>
      <c r="D264" s="80"/>
      <c r="E264" s="40" t="str">
        <f>IF(OR($G$10="&lt;select&gt;",ISBLANK($G$10)),"in reporting currency","in "&amp;VLOOKUP($G$14,Parameters!$E$69:$F$72,2,FALSE)&amp;$G$10)</f>
        <v>in thousand EUR</v>
      </c>
      <c r="F264" s="60" t="s">
        <v>219</v>
      </c>
      <c r="G264" s="42" t="s">
        <v>198</v>
      </c>
      <c r="H264" s="88"/>
      <c r="I264" s="44" t="str">
        <f>I$22</f>
        <v>Checks</v>
      </c>
      <c r="J264" s="6"/>
      <c r="K264" s="6"/>
      <c r="L264" s="40" t="s">
        <v>220</v>
      </c>
      <c r="M264" s="6"/>
      <c r="N264" s="44" t="str">
        <f>N$22</f>
        <v>Supervisor Comments</v>
      </c>
      <c r="O264" s="102"/>
      <c r="P264" s="238"/>
    </row>
    <row r="265" spans="1:17" customFormat="1" ht="15" customHeight="1">
      <c r="A265" s="238"/>
      <c r="B265" s="101"/>
      <c r="C265" s="118" t="s">
        <v>224</v>
      </c>
      <c r="D265" s="169"/>
      <c r="E265" s="239">
        <f>IF(AND(ISNUMBER(Data!$G$38),ISNUMBER(Data!$G$11),ISNUMBER(Data!$G$14)),Data!$G$38," ")</f>
        <v>464177418.04640001</v>
      </c>
      <c r="F265" s="230">
        <v>1166</v>
      </c>
      <c r="G265" s="78">
        <f>IF(ISNUMBER(E265),(E265*Data!$G$14*Data!$G$11/1000000),"")</f>
        <v>464177.41804640001</v>
      </c>
      <c r="H265" s="38" t="s">
        <v>557</v>
      </c>
      <c r="I265" s="57" t="str">
        <f>IF(COUNTIF(I24:I26,"&lt;&gt; ")+COUNTIF(I28:I30,"&lt;&gt; ")+COUNTIF(I32:I36,"&lt;&gt; ")=0," ","Errors detected: "&amp;COUNTIF(I24:I26,"&lt;&gt; ")+COUNTIF(I28:I30,"&lt;&gt; ")+COUNTIF(I32:I36,"&lt;&gt; "))</f>
        <v xml:space="preserve"> </v>
      </c>
      <c r="J265" s="6"/>
      <c r="K265" s="6"/>
      <c r="L265" s="241"/>
      <c r="M265" s="6"/>
      <c r="N265" s="242"/>
      <c r="O265" s="102"/>
      <c r="P265" s="238"/>
    </row>
    <row r="266" spans="1:17" customFormat="1" ht="15" customHeight="1">
      <c r="A266" s="238"/>
      <c r="B266" s="101"/>
      <c r="C266" s="118" t="s">
        <v>225</v>
      </c>
      <c r="D266" s="169"/>
      <c r="E266" s="239">
        <f>IF(AND(ISNUMBER(Data!$G$58),ISNUMBER(Data!$G$11),ISNUMBER(Data!$G$14)),Data!$G$58," ")</f>
        <v>90948637.175999999</v>
      </c>
      <c r="F266" s="230">
        <v>1167</v>
      </c>
      <c r="G266" s="78">
        <f>IF(ISNUMBER(E266),(E266*Data!$G$14*Data!$G$11/1000000),"")</f>
        <v>90948.637176000004</v>
      </c>
      <c r="H266" s="38" t="s">
        <v>558</v>
      </c>
      <c r="I266" s="57" t="str">
        <f>IF(COUNTIF(I43:I45,"&lt;&gt; ")+COUNTIF(I47:I53,"&lt;&gt; ")+COUNTIF(I55:I56,"&lt;&gt; ")=0," ","Errors detected: "&amp;COUNTIF(I43:I45,"&lt;&gt; ")+COUNTIF(I47:I53,"&lt;&gt; ")+COUNTIF(I55:I56,"&lt;&gt; "))</f>
        <v xml:space="preserve"> </v>
      </c>
      <c r="J266" s="6"/>
      <c r="K266" s="6"/>
      <c r="L266" s="241"/>
      <c r="M266" s="6"/>
      <c r="N266" s="242"/>
      <c r="O266" s="102"/>
      <c r="P266" s="238"/>
    </row>
    <row r="267" spans="1:17" customFormat="1" ht="15" customHeight="1">
      <c r="A267" s="238"/>
      <c r="B267" s="101"/>
      <c r="C267" s="118" t="s">
        <v>226</v>
      </c>
      <c r="D267" s="169"/>
      <c r="E267" s="239">
        <f>IF(AND(ISNUMBER(Data!$G$70),ISNUMBER(Data!$G$11),ISNUMBER(Data!$G$14)),Data!$G$70," ")</f>
        <v>58548438.520999998</v>
      </c>
      <c r="F267" s="230">
        <v>1168</v>
      </c>
      <c r="G267" s="78">
        <f>IF(ISNUMBER(E267),(E267*Data!$G$14*Data!$G$11/1000000),"")</f>
        <v>58548.438520999996</v>
      </c>
      <c r="H267" s="38" t="s">
        <v>559</v>
      </c>
      <c r="I267" s="57" t="str">
        <f>IF(COUNTIF(I62:I66,"&lt;&gt; ")+COUNTIF(I68:I69,"&lt;&gt; ")=0," ","Errors detected: "&amp;COUNTIF(I62:I66,"&lt;&gt; ")+COUNTIF(I68:I69,"&lt;&gt; "))</f>
        <v xml:space="preserve"> </v>
      </c>
      <c r="J267" s="6"/>
      <c r="K267" s="6"/>
      <c r="L267" s="241"/>
      <c r="M267" s="6"/>
      <c r="N267" s="242"/>
      <c r="O267" s="102"/>
      <c r="P267" s="238"/>
    </row>
    <row r="268" spans="1:17" customFormat="1" ht="15" customHeight="1">
      <c r="A268" s="238"/>
      <c r="B268" s="101"/>
      <c r="C268" s="118" t="s">
        <v>227</v>
      </c>
      <c r="D268" s="169"/>
      <c r="E268" s="239">
        <f>IF(AND(ISNUMBER(Data!$G$80),ISNUMBER(Data!$G$11),ISNUMBER(Data!$G$14)),Data!$G$80," ")</f>
        <v>83827236</v>
      </c>
      <c r="F268" s="230">
        <v>1169</v>
      </c>
      <c r="G268" s="78">
        <f>IF(ISNUMBER(E268),(E268*Data!$G$14*Data!$G$11/1000000),"")</f>
        <v>83827.236000000004</v>
      </c>
      <c r="H268" s="38" t="s">
        <v>560</v>
      </c>
      <c r="I268" s="57" t="str">
        <f>IF(COUNTIF(I73:I79,"&lt;&gt; ")=0," ","Errors detected: "&amp;COUNTIF(I73:I79,"&lt;&gt; "))</f>
        <v xml:space="preserve"> </v>
      </c>
      <c r="J268" s="6"/>
      <c r="K268" s="6"/>
      <c r="L268" s="241"/>
      <c r="M268" s="6"/>
      <c r="N268" s="242"/>
      <c r="O268" s="102"/>
      <c r="P268" s="238"/>
    </row>
    <row r="269" spans="1:17" customFormat="1" ht="15" customHeight="1">
      <c r="A269" s="238"/>
      <c r="B269" s="101"/>
      <c r="C269" s="118" t="s">
        <v>228</v>
      </c>
      <c r="D269" s="169"/>
      <c r="E269" s="239">
        <f>IF(AND(ISNUMBER(Data!$G$97),ISNUMBER(Data!$G$11),ISNUMBER(Data!$G$14)),Data!$G$97," ")</f>
        <v>3950733033</v>
      </c>
      <c r="F269" s="230">
        <v>1170</v>
      </c>
      <c r="G269" s="78">
        <f>IF(ISNUMBER(E269),(E269*Data!$G$14*Data!$G$11/1000000),"")</f>
        <v>3950733.0329999998</v>
      </c>
      <c r="H269" s="38" t="s">
        <v>561</v>
      </c>
      <c r="I269" s="57" t="str">
        <f>IF(COUNTIF(I85:I96,"&lt;&gt; ")=0," ","Errors detected: "&amp;COUNTIF(I85:I96,"&lt;&gt; "))</f>
        <v xml:space="preserve"> </v>
      </c>
      <c r="J269" s="6"/>
      <c r="K269" s="6"/>
      <c r="L269" s="241"/>
      <c r="M269" s="6"/>
      <c r="N269" s="242"/>
      <c r="O269" s="102"/>
      <c r="P269" s="238"/>
    </row>
    <row r="270" spans="1:17" customFormat="1" ht="15" customHeight="1">
      <c r="A270" s="238"/>
      <c r="B270" s="101"/>
      <c r="C270" s="118" t="s">
        <v>229</v>
      </c>
      <c r="D270" s="169"/>
      <c r="E270" s="239">
        <f>IF(AND(Data!$I$101=" ",ISNUMBER(Data!$G$11),ISNUMBER(Data!$G$14)),Data!$G$101," ")</f>
        <v>191709741</v>
      </c>
      <c r="F270" s="230">
        <v>1171</v>
      </c>
      <c r="G270" s="78">
        <f>IF(ISNUMBER(E270),(E270*Data!$G$14*Data!$G$11/1000000),"")</f>
        <v>191709.74100000001</v>
      </c>
      <c r="H270" s="38" t="s">
        <v>562</v>
      </c>
      <c r="I270" s="57" t="str">
        <f>IF(COUNTIF(I101,"&lt;&gt; ")=0," ","Errors detected: "&amp;COUNTIF(I101,"&lt;&gt; "))</f>
        <v xml:space="preserve"> </v>
      </c>
      <c r="J270" s="6"/>
      <c r="K270" s="6"/>
      <c r="L270" s="241"/>
      <c r="M270" s="6"/>
      <c r="N270" s="242"/>
      <c r="O270" s="102"/>
      <c r="P270" s="238"/>
    </row>
    <row r="271" spans="1:17" customFormat="1" ht="15" customHeight="1">
      <c r="A271" s="238"/>
      <c r="B271" s="101"/>
      <c r="C271" s="118" t="s">
        <v>230</v>
      </c>
      <c r="D271" s="169"/>
      <c r="E271" s="239">
        <f>IF(AND(ISNUMBER(Data!$G$106),ISNUMBER(Data!$G$11),ISNUMBER(Data!$G$14)),Data!$G$106," ")</f>
        <v>4969335.7272727275</v>
      </c>
      <c r="F271" s="230">
        <v>1172</v>
      </c>
      <c r="G271" s="78">
        <f>IF(ISNUMBER(E271),(E271*Data!$G$14*Data!$G$11/1000000),"")</f>
        <v>4969.335727272728</v>
      </c>
      <c r="H271" s="38" t="s">
        <v>563</v>
      </c>
      <c r="I271" s="57" t="str">
        <f>IF(COUNTIF(I104:I105,"&lt;&gt; ")=0," ","Errors detected: "&amp;COUNTIF(I104:I105,"&lt;&gt; "))</f>
        <v xml:space="preserve"> </v>
      </c>
      <c r="J271" s="6"/>
      <c r="K271" s="6"/>
      <c r="L271" s="241"/>
      <c r="M271" s="6"/>
      <c r="N271" s="242"/>
      <c r="O271" s="102"/>
      <c r="P271" s="238"/>
    </row>
    <row r="272" spans="1:17" customFormat="1" ht="15" customHeight="1">
      <c r="A272" s="238"/>
      <c r="B272" s="101"/>
      <c r="C272" s="118" t="s">
        <v>231</v>
      </c>
      <c r="D272" s="169"/>
      <c r="E272" s="239">
        <f>IF(AND(ISNUMBER(Data!$G$113),ISNUMBER(Data!$G$11),ISNUMBER(Data!$G$14)),Data!$G$113," ")</f>
        <v>1248949000</v>
      </c>
      <c r="F272" s="230">
        <v>1173</v>
      </c>
      <c r="G272" s="78">
        <f>IF(ISNUMBER(E272),(E272*Data!$G$14*Data!$G$11/1000000),"")</f>
        <v>1248949</v>
      </c>
      <c r="H272" s="38" t="s">
        <v>564</v>
      </c>
      <c r="I272" s="57" t="str">
        <f>IF(COUNTIF(I111:I112,"&lt;&gt; ")=0," ","Errors detected: "&amp;COUNTIF(I111:I112,"&lt;&gt; "))</f>
        <v xml:space="preserve"> </v>
      </c>
      <c r="J272" s="6"/>
      <c r="K272" s="6"/>
      <c r="L272" s="241"/>
      <c r="M272" s="6"/>
      <c r="N272" s="242"/>
      <c r="O272" s="102"/>
      <c r="P272" s="238"/>
    </row>
    <row r="273" spans="1:16" customFormat="1" ht="15" customHeight="1">
      <c r="A273" s="238"/>
      <c r="B273" s="101"/>
      <c r="C273" s="118" t="s">
        <v>232</v>
      </c>
      <c r="D273" s="169"/>
      <c r="E273" s="239">
        <f>IF(AND(ISNUMBER(Data!$G$120),ISNUMBER(Data!$G$11),ISNUMBER(Data!$G$14)),Data!$G$120," ")</f>
        <v>926941</v>
      </c>
      <c r="F273" s="230">
        <v>1174</v>
      </c>
      <c r="G273" s="78">
        <f>IF(ISNUMBER(E273),(E273*Data!$G$14*Data!$G$11/1000000),"")</f>
        <v>926.94100000000003</v>
      </c>
      <c r="H273" s="38" t="s">
        <v>565</v>
      </c>
      <c r="I273" s="57" t="str">
        <f>IF(COUNTIF(I116:I119,"&lt;&gt; ")=0," ","Errors detected: "&amp;COUNTIF(I116:I119,"&lt;&gt; "))</f>
        <v xml:space="preserve"> </v>
      </c>
      <c r="J273" s="6"/>
      <c r="K273" s="6"/>
      <c r="L273" s="241"/>
      <c r="M273" s="6"/>
      <c r="N273" s="242"/>
      <c r="O273" s="102"/>
      <c r="P273" s="238"/>
    </row>
    <row r="274" spans="1:16" customFormat="1" ht="15" customHeight="1">
      <c r="A274" s="238"/>
      <c r="B274" s="101"/>
      <c r="C274" s="118" t="s">
        <v>233</v>
      </c>
      <c r="D274" s="169"/>
      <c r="E274" s="239">
        <f>IF(AND(Data!$I$123=" ",ISNUMBER(Data!$G$11),ISNUMBER(Data!$G$14)),Data!$G$123," ")</f>
        <v>1988576</v>
      </c>
      <c r="F274" s="230">
        <v>1175</v>
      </c>
      <c r="G274" s="78">
        <f>IF(ISNUMBER(E274),(E274*Data!$G$14*Data!$G$11/1000000),"")</f>
        <v>1988.576</v>
      </c>
      <c r="H274" s="38" t="s">
        <v>566</v>
      </c>
      <c r="I274" s="57" t="str">
        <f>IF(COUNTIF(I123,"&lt;&gt; ")=0," ","Errors detected: "&amp;COUNTIF(I123,"&lt;&gt; "))</f>
        <v xml:space="preserve"> </v>
      </c>
      <c r="J274" s="6"/>
      <c r="K274" s="6"/>
      <c r="L274" s="241"/>
      <c r="M274" s="6"/>
      <c r="N274" s="242"/>
      <c r="O274" s="102"/>
      <c r="P274" s="238"/>
    </row>
    <row r="275" spans="1:16" customFormat="1" ht="15" customHeight="1">
      <c r="A275" s="238"/>
      <c r="B275" s="101"/>
      <c r="C275" s="118" t="s">
        <v>234</v>
      </c>
      <c r="D275" s="169"/>
      <c r="E275" s="239">
        <f>IF(AND(Data!$I$128=" ",ISNUMBER(Data!$G$11),ISNUMBER(Data!$G$14)),$G$128," ")</f>
        <v>112247683</v>
      </c>
      <c r="F275" s="230">
        <v>1176</v>
      </c>
      <c r="G275" s="78">
        <f>IF(ISNUMBER(E275),(E275*Data!$G$14*Data!$G$11/1000000),"")</f>
        <v>112247.683</v>
      </c>
      <c r="H275" s="38" t="s">
        <v>567</v>
      </c>
      <c r="I275" s="57" t="str">
        <f>IF(COUNTIF(I128,"&lt;&gt; ")=0," ","Errors detected: "&amp;COUNTIF(I128,"&lt;&gt; "))</f>
        <v xml:space="preserve"> </v>
      </c>
      <c r="J275" s="6"/>
      <c r="K275" s="6"/>
      <c r="L275" s="241"/>
      <c r="M275" s="6"/>
      <c r="N275" s="242"/>
      <c r="O275" s="102"/>
      <c r="P275" s="238"/>
    </row>
    <row r="276" spans="1:16" customFormat="1" ht="15" customHeight="1">
      <c r="A276" s="238"/>
      <c r="B276" s="101"/>
      <c r="C276" s="118" t="s">
        <v>235</v>
      </c>
      <c r="D276" s="169"/>
      <c r="E276" s="239">
        <f>IF(AND(ISNUMBER(Data!$G$134),ISNUMBER(Data!$G$11),ISNUMBER(Data!$G$14)),Data!$G$134," ")</f>
        <v>121133777</v>
      </c>
      <c r="F276" s="230">
        <v>1177</v>
      </c>
      <c r="G276" s="78">
        <f>IF(ISNUMBER(E276),(E276*Data!$G$14*Data!$G$11/1000000),"")</f>
        <v>121133.777</v>
      </c>
      <c r="H276" s="38" t="s">
        <v>568</v>
      </c>
      <c r="I276" s="57" t="str">
        <f>IF(COUNTIF(I131:I133,"&lt;&gt; ")=0," ","Errors detected: "&amp;COUNTIF(I131:I133,"&lt;&gt; "))</f>
        <v xml:space="preserve"> </v>
      </c>
      <c r="J276" s="6"/>
      <c r="K276" s="6"/>
      <c r="L276" s="241"/>
      <c r="M276" s="6"/>
      <c r="N276" s="242"/>
      <c r="O276" s="102"/>
      <c r="P276" s="238"/>
    </row>
    <row r="277" spans="1:16" customFormat="1" ht="15" customHeight="1">
      <c r="A277" s="238"/>
      <c r="B277" s="101"/>
      <c r="C277" s="64" t="s">
        <v>222</v>
      </c>
      <c r="D277" s="120"/>
      <c r="E277" s="48"/>
      <c r="F277" s="48"/>
      <c r="G277" s="48"/>
      <c r="H277" s="38"/>
      <c r="I277" s="48"/>
      <c r="J277" s="6"/>
      <c r="K277" s="6"/>
      <c r="L277" s="6"/>
      <c r="M277" s="6"/>
      <c r="N277" s="6"/>
      <c r="O277" s="102"/>
      <c r="P277" s="238"/>
    </row>
    <row r="278" spans="1:16" customFormat="1" ht="15" customHeight="1">
      <c r="A278" s="238"/>
      <c r="B278" s="101"/>
      <c r="C278" s="231" t="s">
        <v>251</v>
      </c>
      <c r="D278" s="120"/>
      <c r="E278" s="48"/>
      <c r="F278" s="48"/>
      <c r="G278" s="48"/>
      <c r="H278" s="38" t="s">
        <v>569</v>
      </c>
      <c r="I278" s="57" t="str">
        <f>IF(COUNTIF(I7:I10,"&lt;&gt; ")+COUNTIF(I12,"&lt;&gt; ")=0," ","Errors detected: "&amp;COUNTIF(I7:I10,"&lt;&gt; ")+COUNTIF(I12,"&lt;&gt; "))</f>
        <v xml:space="preserve"> </v>
      </c>
      <c r="J278" s="6"/>
      <c r="K278" s="6"/>
      <c r="L278" s="6"/>
      <c r="M278" s="6"/>
      <c r="N278" s="6"/>
      <c r="O278" s="102"/>
      <c r="P278" s="238"/>
    </row>
    <row r="279" spans="1:16" customFormat="1" ht="15" customHeight="1">
      <c r="A279" s="238"/>
      <c r="B279" s="101"/>
      <c r="C279" s="231" t="s">
        <v>237</v>
      </c>
      <c r="D279" s="120"/>
      <c r="E279" s="48"/>
      <c r="F279" s="48"/>
      <c r="G279" s="48"/>
      <c r="H279" s="38" t="s">
        <v>570</v>
      </c>
      <c r="I279" s="57" t="str">
        <f>IF(COUNTIF(I14:I18,"&lt;&gt; ")=0," ","Errors detected: "&amp;COUNTIF(I14:I18,"&lt;&gt; "))</f>
        <v xml:space="preserve"> </v>
      </c>
      <c r="J279" s="6"/>
      <c r="K279" s="6"/>
      <c r="L279" s="6"/>
      <c r="M279" s="6"/>
      <c r="N279" s="6"/>
      <c r="O279" s="102"/>
      <c r="P279" s="238"/>
    </row>
    <row r="280" spans="1:16" customFormat="1" ht="15" customHeight="1">
      <c r="A280" s="238"/>
      <c r="B280" s="101"/>
      <c r="C280" s="231" t="s">
        <v>236</v>
      </c>
      <c r="D280" s="120"/>
      <c r="E280" s="48"/>
      <c r="F280" s="48"/>
      <c r="G280" s="48"/>
      <c r="H280" s="38" t="s">
        <v>571</v>
      </c>
      <c r="I280" s="57" t="str">
        <f>IF(COUNTIF(I139:I140,"&lt;&gt; ")+COUNTIF(I142:I148,"&lt;&gt; ")+COUNTIF(I151,"&lt;&gt; ")=0," ","Errors detected: "&amp;COUNTIF(I139:I140,"&lt;&gt; ")+COUNTIF(I142:I148,"&lt;&gt; ")+COUNTIF(I151,"&lt;&gt; "))</f>
        <v xml:space="preserve"> </v>
      </c>
      <c r="J280" s="6"/>
      <c r="K280" s="6"/>
      <c r="L280" s="6"/>
      <c r="M280" s="6"/>
      <c r="N280" s="6"/>
      <c r="O280" s="102"/>
      <c r="P280" s="238"/>
    </row>
    <row r="281" spans="1:16" customFormat="1" ht="15" customHeight="1">
      <c r="A281" s="238"/>
      <c r="B281" s="101"/>
      <c r="C281" s="231" t="s">
        <v>328</v>
      </c>
      <c r="D281" s="120"/>
      <c r="E281" s="48"/>
      <c r="F281" s="48"/>
      <c r="G281" s="48"/>
      <c r="H281" s="38" t="s">
        <v>572</v>
      </c>
      <c r="I281" s="57" t="str">
        <f>IF(COUNTIF(I154:I154,"&lt;&gt; ")+COUNTIF(I156:I158,"&lt;&gt; ")=0," ","Errors detected: "&amp;COUNTIF(I154:I154,"&lt;&gt; ")+COUNTIF(I156:I158,"&lt;&gt; "))</f>
        <v xml:space="preserve"> </v>
      </c>
      <c r="J281" s="6"/>
      <c r="K281" s="6"/>
      <c r="L281" s="6"/>
      <c r="M281" s="6"/>
      <c r="N281" s="6"/>
      <c r="O281" s="102"/>
      <c r="P281" s="238"/>
    </row>
    <row r="282" spans="1:16" customFormat="1" ht="15" customHeight="1">
      <c r="A282" s="238"/>
      <c r="B282" s="101"/>
      <c r="C282" s="231" t="s">
        <v>329</v>
      </c>
      <c r="D282" s="120"/>
      <c r="E282" s="48"/>
      <c r="F282" s="48"/>
      <c r="G282" s="48"/>
      <c r="H282" s="38" t="s">
        <v>573</v>
      </c>
      <c r="I282" s="57" t="str">
        <f>IF(COUNTIF(I163:I165,"&lt;&gt; ")+COUNTIF(I167:I171,"&lt;&gt; ")=0," ","Errors detected: "&amp;COUNTIF(I163:I165,"&lt;&gt; ")+COUNTIF(I167:I171,"&lt;&gt; "))</f>
        <v xml:space="preserve"> </v>
      </c>
      <c r="J282" s="6"/>
      <c r="K282" s="6"/>
      <c r="L282" s="6"/>
      <c r="M282" s="6"/>
      <c r="N282" s="6"/>
      <c r="O282" s="102"/>
      <c r="P282" s="238"/>
    </row>
    <row r="283" spans="1:16" customFormat="1" ht="15" customHeight="1">
      <c r="A283" s="238"/>
      <c r="B283" s="101"/>
      <c r="C283" s="231" t="s">
        <v>330</v>
      </c>
      <c r="D283" s="120"/>
      <c r="E283" s="48"/>
      <c r="F283" s="48"/>
      <c r="G283" s="48"/>
      <c r="H283" s="38" t="s">
        <v>574</v>
      </c>
      <c r="I283" s="57" t="str">
        <f>IF(COUNTIF(I174:I194,"&lt;&gt; ")=0," ","Errors detected: "&amp;COUNTIF(I174:I194,"&lt;&gt; "))</f>
        <v xml:space="preserve"> </v>
      </c>
      <c r="J283" s="6"/>
      <c r="K283" s="6"/>
      <c r="L283" s="6"/>
      <c r="M283" s="6"/>
      <c r="N283" s="6"/>
      <c r="O283" s="102"/>
      <c r="P283" s="238"/>
    </row>
    <row r="284" spans="1:16" customFormat="1" ht="15" customHeight="1">
      <c r="A284" s="238"/>
      <c r="B284" s="101"/>
      <c r="C284" s="231" t="s">
        <v>331</v>
      </c>
      <c r="D284" s="120"/>
      <c r="E284" s="48"/>
      <c r="F284" s="48"/>
      <c r="G284" s="48"/>
      <c r="H284" s="38" t="s">
        <v>575</v>
      </c>
      <c r="I284" s="57" t="str">
        <f>IF(COUNTIF(I198:I222,"&lt;&gt; ")=0," ","Errors detected: "&amp;COUNTIF(I198:I222,"&lt;&gt; "))</f>
        <v xml:space="preserve"> </v>
      </c>
      <c r="J284" s="6"/>
      <c r="K284" s="6"/>
      <c r="L284" s="6"/>
      <c r="M284" s="6"/>
      <c r="N284" s="6"/>
      <c r="O284" s="102"/>
      <c r="P284" s="238"/>
    </row>
    <row r="285" spans="1:16" customFormat="1" ht="15" customHeight="1">
      <c r="A285" s="238"/>
      <c r="B285" s="101"/>
      <c r="C285" s="231" t="s">
        <v>579</v>
      </c>
      <c r="D285" s="120"/>
      <c r="E285" s="48"/>
      <c r="F285" s="48"/>
      <c r="G285" s="48"/>
      <c r="H285" s="38" t="s">
        <v>576</v>
      </c>
      <c r="I285" s="57" t="str">
        <f>IF(COUNTIF(I225:I227,"&lt;&gt; ")=0," ","Errors detected: "&amp;COUNTIF(I225:I227,"&lt;&gt; "))</f>
        <v xml:space="preserve"> </v>
      </c>
      <c r="J285" s="6"/>
      <c r="K285" s="6"/>
      <c r="L285" s="6"/>
      <c r="M285" s="6"/>
      <c r="N285" s="6"/>
      <c r="O285" s="102"/>
      <c r="P285" s="238"/>
    </row>
    <row r="286" spans="1:16" customFormat="1" ht="15" customHeight="1">
      <c r="A286" s="238"/>
      <c r="B286" s="101"/>
      <c r="C286" s="231" t="s">
        <v>580</v>
      </c>
      <c r="D286" s="120"/>
      <c r="E286" s="48"/>
      <c r="F286" s="48"/>
      <c r="G286" s="48"/>
      <c r="H286" s="38" t="s">
        <v>577</v>
      </c>
      <c r="I286" s="57" t="str">
        <f>IF(COUNTIF(I230:I232,"&lt;&gt; ")=0," ","Errors detected: "&amp;COUNTIF(I230:I232,"&lt;&gt; "))</f>
        <v xml:space="preserve"> </v>
      </c>
      <c r="J286" s="6"/>
      <c r="K286" s="6"/>
      <c r="L286" s="6"/>
      <c r="M286" s="6"/>
      <c r="N286" s="6"/>
      <c r="O286" s="102"/>
      <c r="P286" s="238"/>
    </row>
    <row r="287" spans="1:16" customFormat="1" ht="15" customHeight="1">
      <c r="A287" s="238"/>
      <c r="B287" s="101"/>
      <c r="C287" s="231" t="s">
        <v>581</v>
      </c>
      <c r="D287" s="120"/>
      <c r="E287" s="48"/>
      <c r="F287" s="48"/>
      <c r="G287" s="48"/>
      <c r="H287" s="38" t="s">
        <v>582</v>
      </c>
      <c r="I287" s="57" t="str">
        <f>IF(COUNTIF(I236:I241,"&lt;&gt; ")+COUNTIF(I243:I246,"&lt;&gt; ")+COUNTIF(I248:I249,"&lt;&gt; ")+COUNTIF(I251:I254,"&lt;&gt; ")+COUNTIF(I256:I259,"&lt;&gt; ")=0," ","Errors detected: "&amp;COUNTIF(I236:I241,"&lt;&gt; ")+COUNTIF(I243:I246,"&lt;&gt; ")+COUNTIF(I248:I249,"&lt;&gt; ")+COUNTIF(I251:I254,"&lt;&gt; ")+COUNTIF(I256:I259,"&lt;&gt; "))</f>
        <v xml:space="preserve"> </v>
      </c>
      <c r="J287" s="6"/>
      <c r="K287" s="6"/>
      <c r="L287" s="6"/>
      <c r="M287" s="6"/>
      <c r="N287" s="6"/>
      <c r="O287" s="102"/>
      <c r="P287" s="238"/>
    </row>
    <row r="288" spans="1:16" customFormat="1" ht="20.100000000000001" customHeight="1">
      <c r="A288" s="238"/>
      <c r="B288" s="103"/>
      <c r="C288" s="104"/>
      <c r="D288" s="104"/>
      <c r="E288" s="104"/>
      <c r="F288" s="104"/>
      <c r="G288" s="104"/>
      <c r="H288" s="105"/>
      <c r="I288" s="104"/>
      <c r="J288" s="104"/>
      <c r="K288" s="104"/>
      <c r="L288" s="104"/>
      <c r="M288" s="104"/>
      <c r="N288" s="104"/>
      <c r="O288" s="106"/>
      <c r="P288" s="238"/>
    </row>
    <row r="289" spans="1:16" ht="15" customHeight="1">
      <c r="A289" s="28"/>
      <c r="B289" s="236"/>
      <c r="C289" s="17"/>
      <c r="D289" s="17"/>
      <c r="E289" s="238"/>
      <c r="F289" s="238"/>
      <c r="G289" s="17"/>
      <c r="H289" s="167"/>
      <c r="I289" s="17"/>
      <c r="J289" s="28"/>
      <c r="K289" s="16"/>
      <c r="L289" s="17"/>
      <c r="M289" s="28"/>
      <c r="N289" s="17"/>
      <c r="O289" s="16"/>
      <c r="P289" s="28"/>
    </row>
  </sheetData>
  <sheetProtection password="D9BE" sheet="1" objects="1" scenarios="1"/>
  <mergeCells count="3">
    <mergeCell ref="C2:E2"/>
    <mergeCell ref="C57:E58"/>
    <mergeCell ref="C37:E38"/>
  </mergeCells>
  <phoneticPr fontId="8" type="noConversion"/>
  <conditionalFormatting sqref="G7:G8 G12">
    <cfRule type="containsText" priority="382" stopIfTrue="1" operator="containsText" text="&lt;select&gt;">
      <formula>NOT(ISERROR(SEARCH("&lt;select&gt;",G7)))</formula>
    </cfRule>
  </conditionalFormatting>
  <conditionalFormatting sqref="G7:G8 G12">
    <cfRule type="containsBlanks" priority="385" stopIfTrue="1">
      <formula>LEN(TRIM(G7))=0</formula>
    </cfRule>
  </conditionalFormatting>
  <conditionalFormatting sqref="I7:I10 I12 I154 I64 I24 I26 I28:I30 I32:I36">
    <cfRule type="cellIs" dxfId="134" priority="267" stopIfTrue="1" operator="notEqual">
      <formula>" "</formula>
    </cfRule>
  </conditionalFormatting>
  <conditionalFormatting sqref="I43:I45 I47:I53 I55:I56">
    <cfRule type="cellIs" dxfId="133" priority="268" stopIfTrue="1" operator="notEqual">
      <formula>" "</formula>
    </cfRule>
  </conditionalFormatting>
  <conditionalFormatting sqref="I68:I69 I62:I63 I65:I66">
    <cfRule type="cellIs" dxfId="132" priority="269" stopIfTrue="1" operator="notEqual">
      <formula>" "</formula>
    </cfRule>
  </conditionalFormatting>
  <conditionalFormatting sqref="I73:I79">
    <cfRule type="cellIs" dxfId="131" priority="272" stopIfTrue="1" operator="notEqual">
      <formula>" "</formula>
    </cfRule>
  </conditionalFormatting>
  <conditionalFormatting sqref="I86:I96">
    <cfRule type="cellIs" dxfId="130" priority="273" stopIfTrue="1" operator="notEqual">
      <formula>" "</formula>
    </cfRule>
  </conditionalFormatting>
  <conditionalFormatting sqref="I104:I105">
    <cfRule type="cellIs" dxfId="129" priority="275" stopIfTrue="1" operator="notEqual">
      <formula>" "</formula>
    </cfRule>
  </conditionalFormatting>
  <conditionalFormatting sqref="I111:I112">
    <cfRule type="cellIs" dxfId="128" priority="276" stopIfTrue="1" operator="notEqual">
      <formula>" "</formula>
    </cfRule>
  </conditionalFormatting>
  <conditionalFormatting sqref="I116:I119">
    <cfRule type="cellIs" dxfId="127" priority="277" stopIfTrue="1" operator="notEqual">
      <formula>" "</formula>
    </cfRule>
  </conditionalFormatting>
  <conditionalFormatting sqref="I123">
    <cfRule type="cellIs" dxfId="126" priority="278" stopIfTrue="1" operator="notEqual">
      <formula>" "</formula>
    </cfRule>
  </conditionalFormatting>
  <conditionalFormatting sqref="I131:I133">
    <cfRule type="cellIs" dxfId="125" priority="286" stopIfTrue="1" operator="notEqual">
      <formula>" "</formula>
    </cfRule>
  </conditionalFormatting>
  <conditionalFormatting sqref="I139:I140 I142:I148">
    <cfRule type="cellIs" dxfId="124" priority="293" stopIfTrue="1" operator="notEqual">
      <formula>" "</formula>
    </cfRule>
  </conditionalFormatting>
  <conditionalFormatting sqref="I151">
    <cfRule type="cellIs" dxfId="123" priority="295" stopIfTrue="1" operator="notEqual">
      <formula>" "</formula>
    </cfRule>
  </conditionalFormatting>
  <conditionalFormatting sqref="G16">
    <cfRule type="containsText" priority="482" stopIfTrue="1" operator="containsText" text="&lt;select&gt;">
      <formula>NOT(ISERROR(SEARCH("&lt;select&gt;",G16)))</formula>
    </cfRule>
  </conditionalFormatting>
  <conditionalFormatting sqref="G16">
    <cfRule type="containsBlanks" priority="633" stopIfTrue="1">
      <formula>LEN(TRIM(G16))=0</formula>
    </cfRule>
  </conditionalFormatting>
  <conditionalFormatting sqref="I14:I18">
    <cfRule type="cellIs" dxfId="122" priority="266" stopIfTrue="1" operator="notEqual">
      <formula>" "</formula>
    </cfRule>
  </conditionalFormatting>
  <conditionalFormatting sqref="I128">
    <cfRule type="cellIs" dxfId="121" priority="282" stopIfTrue="1" operator="notEqual">
      <formula>" "</formula>
    </cfRule>
  </conditionalFormatting>
  <conditionalFormatting sqref="I101">
    <cfRule type="cellIs" dxfId="120" priority="274" stopIfTrue="1" operator="notEqual">
      <formula>" "</formula>
    </cfRule>
  </conditionalFormatting>
  <conditionalFormatting sqref="I265:I276 I278:I286">
    <cfRule type="cellIs" dxfId="119" priority="380" stopIfTrue="1" operator="notEqual">
      <formula>" "</formula>
    </cfRule>
  </conditionalFormatting>
  <conditionalFormatting sqref="I282:I286">
    <cfRule type="containsText" dxfId="118" priority="265" stopIfTrue="1" operator="containsText" text="Warnings detected">
      <formula>NOT(ISERROR(SEARCH("Warnings detected",I282)))</formula>
    </cfRule>
  </conditionalFormatting>
  <conditionalFormatting sqref="L111:L112 L104:L105 L101 L85:L96 L73:L79 L68:L69 L55:L56 L47:L53 L43:L45 L16:L18 L154 L28:L30 L32:L36 L62:L66 L230:L232 L225:L227 L24:L26">
    <cfRule type="expression" dxfId="117" priority="263" stopIfTrue="1">
      <formula>LEN(L16)&gt;56</formula>
    </cfRule>
  </conditionalFormatting>
  <conditionalFormatting sqref="L265:L276 L156:L158 L151 L142:L148 L139:L140 L131:L133 L128 L123 L116:L119 L163:L167 L174:L175 L198:L222 L170:L171">
    <cfRule type="expression" dxfId="116" priority="262" stopIfTrue="1">
      <formula>LEN(L116)&gt;56</formula>
    </cfRule>
  </conditionalFormatting>
  <conditionalFormatting sqref="N111:N112 N104:N105 N101 N85:N96 N73:N79 N68:N69 N55:N56 N47:N53 N43:N45 N16:N18 N154 N24 N26 N28:N30 N32:N36 N62:N66 N230:N232 N225:N227">
    <cfRule type="expression" dxfId="115" priority="261" stopIfTrue="1">
      <formula>LEN(N16)&gt;30</formula>
    </cfRule>
  </conditionalFormatting>
  <conditionalFormatting sqref="N265:N276 N198:N222 N174:N175 N163:N167 N156:N158 N151 N142:N148 N139:N140 N131:N133 N128 N123 N116:N119 N178 N170:N171">
    <cfRule type="expression" dxfId="114" priority="260" stopIfTrue="1">
      <formula>LEN(N116)&gt;30</formula>
    </cfRule>
  </conditionalFormatting>
  <conditionalFormatting sqref="N9:N10">
    <cfRule type="expression" dxfId="113" priority="259" stopIfTrue="1">
      <formula>LEN(N9)&gt;30</formula>
    </cfRule>
  </conditionalFormatting>
  <conditionalFormatting sqref="I85:I96">
    <cfRule type="cellIs" dxfId="112" priority="258" stopIfTrue="1" operator="notEqual">
      <formula>" "</formula>
    </cfRule>
  </conditionalFormatting>
  <conditionalFormatting sqref="I156">
    <cfRule type="cellIs" dxfId="111" priority="257" stopIfTrue="1" operator="notEqual">
      <formula>" "</formula>
    </cfRule>
  </conditionalFormatting>
  <conditionalFormatting sqref="I157">
    <cfRule type="cellIs" dxfId="110" priority="256" stopIfTrue="1" operator="notEqual">
      <formula>" "</formula>
    </cfRule>
  </conditionalFormatting>
  <conditionalFormatting sqref="I158">
    <cfRule type="cellIs" dxfId="109" priority="255" stopIfTrue="1" operator="notEqual">
      <formula>" "</formula>
    </cfRule>
  </conditionalFormatting>
  <conditionalFormatting sqref="N25">
    <cfRule type="expression" dxfId="108" priority="252" stopIfTrue="1">
      <formula>LEN(N25)&gt;30</formula>
    </cfRule>
  </conditionalFormatting>
  <conditionalFormatting sqref="I25">
    <cfRule type="cellIs" dxfId="107" priority="251" stopIfTrue="1" operator="notEqual">
      <formula>" "</formula>
    </cfRule>
  </conditionalFormatting>
  <conditionalFormatting sqref="L259">
    <cfRule type="expression" dxfId="106" priority="212" stopIfTrue="1">
      <formula>LEN(L259)&gt;56</formula>
    </cfRule>
  </conditionalFormatting>
  <conditionalFormatting sqref="N259">
    <cfRule type="expression" dxfId="105" priority="211" stopIfTrue="1">
      <formula>LEN(N259)&gt;30</formula>
    </cfRule>
  </conditionalFormatting>
  <conditionalFormatting sqref="L258">
    <cfRule type="expression" dxfId="104" priority="208" stopIfTrue="1">
      <formula>LEN(L258)&gt;56</formula>
    </cfRule>
  </conditionalFormatting>
  <conditionalFormatting sqref="N258">
    <cfRule type="expression" dxfId="103" priority="207" stopIfTrue="1">
      <formula>LEN(N258)&gt;30</formula>
    </cfRule>
  </conditionalFormatting>
  <conditionalFormatting sqref="L257">
    <cfRule type="expression" dxfId="102" priority="204" stopIfTrue="1">
      <formula>LEN(L257)&gt;56</formula>
    </cfRule>
  </conditionalFormatting>
  <conditionalFormatting sqref="N257">
    <cfRule type="expression" dxfId="101" priority="203" stopIfTrue="1">
      <formula>LEN(N257)&gt;30</formula>
    </cfRule>
  </conditionalFormatting>
  <conditionalFormatting sqref="L256">
    <cfRule type="expression" dxfId="100" priority="200" stopIfTrue="1">
      <formula>LEN(L256)&gt;56</formula>
    </cfRule>
  </conditionalFormatting>
  <conditionalFormatting sqref="N256">
    <cfRule type="expression" dxfId="99" priority="199" stopIfTrue="1">
      <formula>LEN(N256)&gt;30</formula>
    </cfRule>
  </conditionalFormatting>
  <conditionalFormatting sqref="L254">
    <cfRule type="expression" dxfId="98" priority="192" stopIfTrue="1">
      <formula>LEN(L254)&gt;56</formula>
    </cfRule>
  </conditionalFormatting>
  <conditionalFormatting sqref="N254">
    <cfRule type="expression" dxfId="97" priority="191" stopIfTrue="1">
      <formula>LEN(N254)&gt;30</formula>
    </cfRule>
  </conditionalFormatting>
  <conditionalFormatting sqref="L253">
    <cfRule type="expression" dxfId="96" priority="188" stopIfTrue="1">
      <formula>LEN(L253)&gt;56</formula>
    </cfRule>
  </conditionalFormatting>
  <conditionalFormatting sqref="N253">
    <cfRule type="expression" dxfId="95" priority="187" stopIfTrue="1">
      <formula>LEN(N253)&gt;30</formula>
    </cfRule>
  </conditionalFormatting>
  <conditionalFormatting sqref="L252">
    <cfRule type="expression" dxfId="94" priority="184" stopIfTrue="1">
      <formula>LEN(L252)&gt;56</formula>
    </cfRule>
  </conditionalFormatting>
  <conditionalFormatting sqref="N252">
    <cfRule type="expression" dxfId="93" priority="183" stopIfTrue="1">
      <formula>LEN(N252)&gt;30</formula>
    </cfRule>
  </conditionalFormatting>
  <conditionalFormatting sqref="L251">
    <cfRule type="expression" dxfId="92" priority="180" stopIfTrue="1">
      <formula>LEN(L251)&gt;56</formula>
    </cfRule>
  </conditionalFormatting>
  <conditionalFormatting sqref="N251">
    <cfRule type="expression" dxfId="91" priority="179" stopIfTrue="1">
      <formula>LEN(N251)&gt;30</formula>
    </cfRule>
  </conditionalFormatting>
  <conditionalFormatting sqref="L249">
    <cfRule type="expression" dxfId="90" priority="172" stopIfTrue="1">
      <formula>LEN(L249)&gt;56</formula>
    </cfRule>
  </conditionalFormatting>
  <conditionalFormatting sqref="N249">
    <cfRule type="expression" dxfId="89" priority="171" stopIfTrue="1">
      <formula>LEN(N249)&gt;30</formula>
    </cfRule>
  </conditionalFormatting>
  <conditionalFormatting sqref="L248">
    <cfRule type="expression" dxfId="88" priority="168" stopIfTrue="1">
      <formula>LEN(L248)&gt;56</formula>
    </cfRule>
  </conditionalFormatting>
  <conditionalFormatting sqref="N248">
    <cfRule type="expression" dxfId="87" priority="167" stopIfTrue="1">
      <formula>LEN(N248)&gt;30</formula>
    </cfRule>
  </conditionalFormatting>
  <conditionalFormatting sqref="L246">
    <cfRule type="expression" dxfId="86" priority="160" stopIfTrue="1">
      <formula>LEN(L246)&gt;56</formula>
    </cfRule>
  </conditionalFormatting>
  <conditionalFormatting sqref="N246">
    <cfRule type="expression" dxfId="85" priority="159" stopIfTrue="1">
      <formula>LEN(N246)&gt;30</formula>
    </cfRule>
  </conditionalFormatting>
  <conditionalFormatting sqref="L245">
    <cfRule type="expression" dxfId="84" priority="156" stopIfTrue="1">
      <formula>LEN(L245)&gt;56</formula>
    </cfRule>
  </conditionalFormatting>
  <conditionalFormatting sqref="N245">
    <cfRule type="expression" dxfId="83" priority="155" stopIfTrue="1">
      <formula>LEN(N245)&gt;30</formula>
    </cfRule>
  </conditionalFormatting>
  <conditionalFormatting sqref="L244">
    <cfRule type="expression" dxfId="82" priority="152" stopIfTrue="1">
      <formula>LEN(L244)&gt;56</formula>
    </cfRule>
  </conditionalFormatting>
  <conditionalFormatting sqref="N244">
    <cfRule type="expression" dxfId="81" priority="151" stopIfTrue="1">
      <formula>LEN(N244)&gt;30</formula>
    </cfRule>
  </conditionalFormatting>
  <conditionalFormatting sqref="L243">
    <cfRule type="expression" dxfId="80" priority="148" stopIfTrue="1">
      <formula>LEN(L243)&gt;56</formula>
    </cfRule>
  </conditionalFormatting>
  <conditionalFormatting sqref="N243">
    <cfRule type="expression" dxfId="79" priority="147" stopIfTrue="1">
      <formula>LEN(N243)&gt;30</formula>
    </cfRule>
  </conditionalFormatting>
  <conditionalFormatting sqref="L241">
    <cfRule type="expression" dxfId="78" priority="140" stopIfTrue="1">
      <formula>LEN(L241)&gt;56</formula>
    </cfRule>
  </conditionalFormatting>
  <conditionalFormatting sqref="N241">
    <cfRule type="expression" dxfId="77" priority="139" stopIfTrue="1">
      <formula>LEN(N241)&gt;30</formula>
    </cfRule>
  </conditionalFormatting>
  <conditionalFormatting sqref="L240">
    <cfRule type="expression" dxfId="76" priority="136" stopIfTrue="1">
      <formula>LEN(L240)&gt;56</formula>
    </cfRule>
  </conditionalFormatting>
  <conditionalFormatting sqref="N240">
    <cfRule type="expression" dxfId="75" priority="135" stopIfTrue="1">
      <formula>LEN(N240)&gt;30</formula>
    </cfRule>
  </conditionalFormatting>
  <conditionalFormatting sqref="L239">
    <cfRule type="expression" dxfId="74" priority="132" stopIfTrue="1">
      <formula>LEN(L239)&gt;56</formula>
    </cfRule>
  </conditionalFormatting>
  <conditionalFormatting sqref="N239">
    <cfRule type="expression" dxfId="73" priority="131" stopIfTrue="1">
      <formula>LEN(N239)&gt;30</formula>
    </cfRule>
  </conditionalFormatting>
  <conditionalFormatting sqref="L238">
    <cfRule type="expression" dxfId="72" priority="128" stopIfTrue="1">
      <formula>LEN(L238)&gt;56</formula>
    </cfRule>
  </conditionalFormatting>
  <conditionalFormatting sqref="N238">
    <cfRule type="expression" dxfId="71" priority="127" stopIfTrue="1">
      <formula>LEN(N238)&gt;30</formula>
    </cfRule>
  </conditionalFormatting>
  <conditionalFormatting sqref="L237">
    <cfRule type="expression" dxfId="70" priority="124" stopIfTrue="1">
      <formula>LEN(L237)&gt;56</formula>
    </cfRule>
  </conditionalFormatting>
  <conditionalFormatting sqref="N237">
    <cfRule type="expression" dxfId="69" priority="123" stopIfTrue="1">
      <formula>LEN(N237)&gt;30</formula>
    </cfRule>
  </conditionalFormatting>
  <conditionalFormatting sqref="L236">
    <cfRule type="expression" dxfId="68" priority="120" stopIfTrue="1">
      <formula>LEN(L236)&gt;56</formula>
    </cfRule>
  </conditionalFormatting>
  <conditionalFormatting sqref="N236">
    <cfRule type="expression" dxfId="67" priority="119" stopIfTrue="1">
      <formula>LEN(N236)&gt;30</formula>
    </cfRule>
  </conditionalFormatting>
  <conditionalFormatting sqref="I164">
    <cfRule type="cellIs" dxfId="66" priority="92" stopIfTrue="1" operator="notEqual">
      <formula>" "</formula>
    </cfRule>
  </conditionalFormatting>
  <conditionalFormatting sqref="I165">
    <cfRule type="cellIs" dxfId="65" priority="91" stopIfTrue="1" operator="notEqual">
      <formula>" "</formula>
    </cfRule>
  </conditionalFormatting>
  <conditionalFormatting sqref="I167">
    <cfRule type="cellIs" dxfId="64" priority="90" stopIfTrue="1" operator="notEqual">
      <formula>" "</formula>
    </cfRule>
  </conditionalFormatting>
  <conditionalFormatting sqref="I171">
    <cfRule type="cellIs" dxfId="63" priority="89" stopIfTrue="1" operator="notEqual">
      <formula>" "</formula>
    </cfRule>
  </conditionalFormatting>
  <conditionalFormatting sqref="I174">
    <cfRule type="cellIs" dxfId="62" priority="88" stopIfTrue="1" operator="notEqual">
      <formula>" "</formula>
    </cfRule>
  </conditionalFormatting>
  <conditionalFormatting sqref="I175">
    <cfRule type="cellIs" dxfId="61" priority="87" stopIfTrue="1" operator="notEqual">
      <formula>" "</formula>
    </cfRule>
  </conditionalFormatting>
  <conditionalFormatting sqref="I201">
    <cfRule type="cellIs" dxfId="60" priority="82" stopIfTrue="1" operator="notEqual">
      <formula>" "</formula>
    </cfRule>
  </conditionalFormatting>
  <conditionalFormatting sqref="I198">
    <cfRule type="cellIs" dxfId="59" priority="85" stopIfTrue="1" operator="notEqual">
      <formula>" "</formula>
    </cfRule>
  </conditionalFormatting>
  <conditionalFormatting sqref="I199">
    <cfRule type="cellIs" dxfId="58" priority="84" stopIfTrue="1" operator="notEqual">
      <formula>" "</formula>
    </cfRule>
  </conditionalFormatting>
  <conditionalFormatting sqref="I200">
    <cfRule type="cellIs" dxfId="57" priority="83" stopIfTrue="1" operator="notEqual">
      <formula>" "</formula>
    </cfRule>
  </conditionalFormatting>
  <conditionalFormatting sqref="I204">
    <cfRule type="cellIs" dxfId="56" priority="79" stopIfTrue="1" operator="notEqual">
      <formula>" "</formula>
    </cfRule>
  </conditionalFormatting>
  <conditionalFormatting sqref="I202">
    <cfRule type="cellIs" dxfId="55" priority="81" stopIfTrue="1" operator="notEqual">
      <formula>" "</formula>
    </cfRule>
  </conditionalFormatting>
  <conditionalFormatting sqref="I203">
    <cfRule type="cellIs" dxfId="54" priority="80" stopIfTrue="1" operator="notEqual">
      <formula>" "</formula>
    </cfRule>
  </conditionalFormatting>
  <conditionalFormatting sqref="I207">
    <cfRule type="cellIs" dxfId="53" priority="76" stopIfTrue="1" operator="notEqual">
      <formula>" "</formula>
    </cfRule>
  </conditionalFormatting>
  <conditionalFormatting sqref="I205">
    <cfRule type="cellIs" dxfId="52" priority="78" stopIfTrue="1" operator="notEqual">
      <formula>" "</formula>
    </cfRule>
  </conditionalFormatting>
  <conditionalFormatting sqref="I206">
    <cfRule type="cellIs" dxfId="51" priority="77" stopIfTrue="1" operator="notEqual">
      <formula>" "</formula>
    </cfRule>
  </conditionalFormatting>
  <conditionalFormatting sqref="I208">
    <cfRule type="cellIs" dxfId="50" priority="75" stopIfTrue="1" operator="notEqual">
      <formula>" "</formula>
    </cfRule>
  </conditionalFormatting>
  <conditionalFormatting sqref="I209">
    <cfRule type="cellIs" dxfId="49" priority="74" stopIfTrue="1" operator="notEqual">
      <formula>" "</formula>
    </cfRule>
  </conditionalFormatting>
  <conditionalFormatting sqref="I210">
    <cfRule type="cellIs" dxfId="48" priority="73" stopIfTrue="1" operator="notEqual">
      <formula>" "</formula>
    </cfRule>
  </conditionalFormatting>
  <conditionalFormatting sqref="I211">
    <cfRule type="cellIs" dxfId="47" priority="72" stopIfTrue="1" operator="notEqual">
      <formula>" "</formula>
    </cfRule>
  </conditionalFormatting>
  <conditionalFormatting sqref="I212:I222">
    <cfRule type="cellIs" dxfId="46" priority="70" stopIfTrue="1" operator="notEqual">
      <formula>" "</formula>
    </cfRule>
  </conditionalFormatting>
  <conditionalFormatting sqref="I230">
    <cfRule type="cellIs" dxfId="45" priority="69" stopIfTrue="1" operator="notEqual">
      <formula>" "</formula>
    </cfRule>
  </conditionalFormatting>
  <conditionalFormatting sqref="I236:I241">
    <cfRule type="cellIs" dxfId="44" priority="68" stopIfTrue="1" operator="notEqual">
      <formula>" "</formula>
    </cfRule>
  </conditionalFormatting>
  <conditionalFormatting sqref="I243:I246">
    <cfRule type="cellIs" dxfId="43" priority="67" stopIfTrue="1" operator="notEqual">
      <formula>" "</formula>
    </cfRule>
  </conditionalFormatting>
  <conditionalFormatting sqref="I248:I249">
    <cfRule type="cellIs" dxfId="42" priority="66" stopIfTrue="1" operator="notEqual">
      <formula>" "</formula>
    </cfRule>
  </conditionalFormatting>
  <conditionalFormatting sqref="I251:I254">
    <cfRule type="cellIs" dxfId="41" priority="65" stopIfTrue="1" operator="notEqual">
      <formula>" "</formula>
    </cfRule>
  </conditionalFormatting>
  <conditionalFormatting sqref="I256:I259">
    <cfRule type="cellIs" dxfId="40" priority="64" stopIfTrue="1" operator="notEqual">
      <formula>" "</formula>
    </cfRule>
  </conditionalFormatting>
  <conditionalFormatting sqref="I163">
    <cfRule type="cellIs" dxfId="39" priority="63" stopIfTrue="1" operator="notEqual">
      <formula>" "</formula>
    </cfRule>
  </conditionalFormatting>
  <conditionalFormatting sqref="I231">
    <cfRule type="cellIs" dxfId="38" priority="60" stopIfTrue="1" operator="notEqual">
      <formula>" "</formula>
    </cfRule>
  </conditionalFormatting>
  <conditionalFormatting sqref="I232">
    <cfRule type="cellIs" dxfId="37" priority="59" stopIfTrue="1" operator="notEqual">
      <formula>" "</formula>
    </cfRule>
  </conditionalFormatting>
  <conditionalFormatting sqref="I287">
    <cfRule type="cellIs" dxfId="36" priority="58" stopIfTrue="1" operator="notEqual">
      <formula>" "</formula>
    </cfRule>
  </conditionalFormatting>
  <conditionalFormatting sqref="I287">
    <cfRule type="containsText" dxfId="35" priority="57" stopIfTrue="1" operator="containsText" text="Warnings detected">
      <formula>NOT(ISERROR(SEARCH("Warnings detected",I287)))</formula>
    </cfRule>
  </conditionalFormatting>
  <conditionalFormatting sqref="L176">
    <cfRule type="expression" dxfId="34" priority="56" stopIfTrue="1">
      <formula>LEN(L176)&gt;56</formula>
    </cfRule>
  </conditionalFormatting>
  <conditionalFormatting sqref="N176">
    <cfRule type="expression" dxfId="33" priority="55" stopIfTrue="1">
      <formula>LEN(N176)&gt;30</formula>
    </cfRule>
  </conditionalFormatting>
  <conditionalFormatting sqref="I176">
    <cfRule type="cellIs" dxfId="32" priority="54" stopIfTrue="1" operator="notEqual">
      <formula>" "</formula>
    </cfRule>
  </conditionalFormatting>
  <conditionalFormatting sqref="L181:L182">
    <cfRule type="expression" dxfId="31" priority="53" stopIfTrue="1">
      <formula>LEN(L181)&gt;56</formula>
    </cfRule>
  </conditionalFormatting>
  <conditionalFormatting sqref="N181:N182">
    <cfRule type="expression" dxfId="30" priority="52" stopIfTrue="1">
      <formula>LEN(N181)&gt;30</formula>
    </cfRule>
  </conditionalFormatting>
  <conditionalFormatting sqref="I181:I182">
    <cfRule type="cellIs" dxfId="29" priority="51" stopIfTrue="1" operator="notEqual">
      <formula>" "</formula>
    </cfRule>
  </conditionalFormatting>
  <conditionalFormatting sqref="N177">
    <cfRule type="expression" dxfId="28" priority="49" stopIfTrue="1">
      <formula>LEN(N177)&gt;30</formula>
    </cfRule>
  </conditionalFormatting>
  <conditionalFormatting sqref="I177">
    <cfRule type="cellIs" dxfId="27" priority="45" stopIfTrue="1" operator="notEqual">
      <formula>" "</formula>
    </cfRule>
  </conditionalFormatting>
  <conditionalFormatting sqref="I178">
    <cfRule type="cellIs" dxfId="26" priority="43" stopIfTrue="1" operator="notEqual">
      <formula>" "</formula>
    </cfRule>
  </conditionalFormatting>
  <conditionalFormatting sqref="I179">
    <cfRule type="cellIs" dxfId="25" priority="40" stopIfTrue="1" operator="notEqual">
      <formula>" "</formula>
    </cfRule>
  </conditionalFormatting>
  <conditionalFormatting sqref="L179">
    <cfRule type="expression" dxfId="24" priority="42" stopIfTrue="1">
      <formula>LEN(L179)&gt;56</formula>
    </cfRule>
  </conditionalFormatting>
  <conditionalFormatting sqref="N179">
    <cfRule type="expression" dxfId="23" priority="41" stopIfTrue="1">
      <formula>LEN(N179)&gt;30</formula>
    </cfRule>
  </conditionalFormatting>
  <conditionalFormatting sqref="I180">
    <cfRule type="cellIs" dxfId="22" priority="37" stopIfTrue="1" operator="notEqual">
      <formula>" "</formula>
    </cfRule>
  </conditionalFormatting>
  <conditionalFormatting sqref="L180">
    <cfRule type="expression" dxfId="21" priority="39" stopIfTrue="1">
      <formula>LEN(L180)&gt;56</formula>
    </cfRule>
  </conditionalFormatting>
  <conditionalFormatting sqref="N180">
    <cfRule type="expression" dxfId="20" priority="38" stopIfTrue="1">
      <formula>LEN(N180)&gt;30</formula>
    </cfRule>
  </conditionalFormatting>
  <conditionalFormatting sqref="I227">
    <cfRule type="cellIs" dxfId="19" priority="34" stopIfTrue="1" operator="notEqual">
      <formula>" "</formula>
    </cfRule>
  </conditionalFormatting>
  <conditionalFormatting sqref="I225">
    <cfRule type="cellIs" dxfId="18" priority="33" stopIfTrue="1" operator="notEqual">
      <formula>" "</formula>
    </cfRule>
  </conditionalFormatting>
  <conditionalFormatting sqref="I226">
    <cfRule type="cellIs" dxfId="17" priority="32" stopIfTrue="1" operator="notEqual">
      <formula>" "</formula>
    </cfRule>
  </conditionalFormatting>
  <conditionalFormatting sqref="L169">
    <cfRule type="expression" dxfId="16" priority="31" stopIfTrue="1">
      <formula>LEN(L169)&gt;56</formula>
    </cfRule>
  </conditionalFormatting>
  <conditionalFormatting sqref="N168:N169">
    <cfRule type="expression" dxfId="15" priority="30" stopIfTrue="1">
      <formula>LEN(N168)&gt;30</formula>
    </cfRule>
  </conditionalFormatting>
  <conditionalFormatting sqref="L184:L188 L194">
    <cfRule type="expression" dxfId="14" priority="27" stopIfTrue="1">
      <formula>LEN(L184)&gt;56</formula>
    </cfRule>
  </conditionalFormatting>
  <conditionalFormatting sqref="N184:N188 N194">
    <cfRule type="expression" dxfId="13" priority="26" stopIfTrue="1">
      <formula>LEN(N184)&gt;30</formula>
    </cfRule>
  </conditionalFormatting>
  <conditionalFormatting sqref="I194">
    <cfRule type="cellIs" dxfId="12" priority="25" stopIfTrue="1" operator="notEqual">
      <formula>" "</formula>
    </cfRule>
  </conditionalFormatting>
  <conditionalFormatting sqref="I168">
    <cfRule type="cellIs" dxfId="11" priority="21" stopIfTrue="1" operator="notEqual">
      <formula>" "</formula>
    </cfRule>
  </conditionalFormatting>
  <conditionalFormatting sqref="I169">
    <cfRule type="cellIs" dxfId="10" priority="20" stopIfTrue="1" operator="notEqual">
      <formula>" "</formula>
    </cfRule>
  </conditionalFormatting>
  <conditionalFormatting sqref="I170">
    <cfRule type="cellIs" dxfId="9" priority="19" stopIfTrue="1" operator="notEqual">
      <formula>" "</formula>
    </cfRule>
  </conditionalFormatting>
  <conditionalFormatting sqref="I184:I188">
    <cfRule type="cellIs" dxfId="8" priority="11" stopIfTrue="1" operator="notEqual">
      <formula>" "</formula>
    </cfRule>
  </conditionalFormatting>
  <conditionalFormatting sqref="L190:L193">
    <cfRule type="expression" dxfId="7" priority="10" stopIfTrue="1">
      <formula>LEN(L190)&gt;56</formula>
    </cfRule>
  </conditionalFormatting>
  <conditionalFormatting sqref="N190:N193">
    <cfRule type="expression" dxfId="6" priority="9" stopIfTrue="1">
      <formula>LEN(N190)&gt;30</formula>
    </cfRule>
  </conditionalFormatting>
  <conditionalFormatting sqref="I183">
    <cfRule type="cellIs" dxfId="5" priority="12" stopIfTrue="1" operator="notEqual">
      <formula>" "</formula>
    </cfRule>
  </conditionalFormatting>
  <conditionalFormatting sqref="I189">
    <cfRule type="cellIs" dxfId="4" priority="7" stopIfTrue="1" operator="notEqual">
      <formula>" "</formula>
    </cfRule>
  </conditionalFormatting>
  <conditionalFormatting sqref="I190:I193">
    <cfRule type="cellIs" dxfId="3" priority="8" stopIfTrue="1" operator="notEqual">
      <formula>" "</formula>
    </cfRule>
  </conditionalFormatting>
  <conditionalFormatting sqref="L168">
    <cfRule type="expression" dxfId="2" priority="6" stopIfTrue="1">
      <formula>LEN(L168)&gt;56</formula>
    </cfRule>
  </conditionalFormatting>
  <conditionalFormatting sqref="L177">
    <cfRule type="expression" dxfId="1" priority="3" stopIfTrue="1">
      <formula>LEN(L177)&gt;56</formula>
    </cfRule>
  </conditionalFormatting>
  <conditionalFormatting sqref="L178">
    <cfRule type="expression" dxfId="0" priority="1" stopIfTrue="1">
      <formula>LEN(L178)&gt;56</formula>
    </cfRule>
  </conditionalFormatting>
  <dataValidations count="6">
    <dataValidation type="list" allowBlank="1" showInputMessage="1" showErrorMessage="1" sqref="G10">
      <formula1>ReportingCurrency</formula1>
    </dataValidation>
    <dataValidation type="list" allowBlank="1" showInputMessage="1" showErrorMessage="1" sqref="G14">
      <formula1>ReportingUnit</formula1>
    </dataValidation>
    <dataValidation type="list" allowBlank="1" showInputMessage="1" showErrorMessage="1" sqref="G15">
      <formula1>AccountingStandard</formula1>
    </dataValidation>
    <dataValidation type="list" allowBlank="1" showInputMessage="1" showErrorMessage="1" sqref="G7">
      <formula1>CountryCode</formula1>
    </dataValidation>
    <dataValidation type="list" showInputMessage="1" showErrorMessage="1" sqref="K139:K140 K55:K56 K73:K79 K85:K96 K47:K53 K111:K112 K116:K119 K123 K131:K133 K101 K151 K190:K194 K68:K69 K43:K45 K104:K105 K128 K142:K148 K156:K158 K256:K259 K32:K36 K154 K24:K26 K28:K30 K62:K66 K236:K241 K243:K246 K248:K249 K251:K254 K198:K222 K163:K171 K174:K182 K184:K188 K225:K227 K230:K232">
      <formula1>ChecksResponses</formula1>
    </dataValidation>
    <dataValidation type="list" allowBlank="1" showInputMessage="1" showErrorMessage="1" sqref="G9">
      <formula1>ReportingDate</formula1>
    </dataValidation>
  </dataValidations>
  <printOptions horizontalCentered="1" verticalCentered="1"/>
  <pageMargins left="0.39370078740157499" right="0.39370078740157499" top="0.78740157480314998" bottom="0.78740157480314998" header="0.39370078740157499" footer="0.39370078740157499"/>
  <pageSetup paperSize="9" scale="54" fitToHeight="5" orientation="landscape" r:id="rId1"/>
  <headerFooter alignWithMargins="0">
    <oddHeader>&amp;L&amp;"Arial,Bold"&amp;16Basel Committee on Banking Supervision&amp;C&amp;16&amp;F&amp;R&amp;"Arial,Bold"&amp;16Confidential</oddHeader>
    <oddFooter>&amp;L&amp;16&amp;D  &amp;T&amp;R&amp;16Page &amp;P of &amp;N</oddFooter>
  </headerFooter>
  <rowBreaks count="6" manualBreakCount="6">
    <brk id="39" min="1" max="12" man="1"/>
    <brk id="81" min="1" max="12" man="1"/>
    <brk id="124" min="1" max="12" man="1"/>
    <brk id="159" min="1" max="14" man="1"/>
    <brk id="194" min="1" max="14" man="1"/>
    <brk id="232" min="1" max="14" man="1"/>
  </rowBreaks>
  <ignoredErrors>
    <ignoredError sqref="I183 I189 I1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 tint="0.59999389629810485"/>
  </sheetPr>
  <dimension ref="B1:P117"/>
  <sheetViews>
    <sheetView zoomScale="85" zoomScaleNormal="85" workbookViewId="0">
      <selection activeCell="G48" sqref="G48"/>
    </sheetView>
  </sheetViews>
  <sheetFormatPr defaultColWidth="11.44140625" defaultRowHeight="13.2"/>
  <cols>
    <col min="1" max="2" width="5.6640625" style="1" customWidth="1"/>
    <col min="3" max="3" width="40.6640625" style="1" customWidth="1"/>
    <col min="4" max="4" width="10.6640625" style="1" customWidth="1"/>
    <col min="5" max="9" width="12.6640625" style="1" customWidth="1"/>
    <col min="10" max="10" width="5.6640625" style="1" customWidth="1"/>
    <col min="11" max="11" width="11.44140625" style="1"/>
    <col min="12" max="12" width="11.44140625" style="1" customWidth="1"/>
    <col min="13" max="16384" width="11.44140625" style="1"/>
  </cols>
  <sheetData>
    <row r="1" spans="2:11" s="3" customFormat="1" ht="24.6">
      <c r="C1" s="124" t="s">
        <v>0</v>
      </c>
      <c r="D1" s="125"/>
      <c r="E1" s="125"/>
      <c r="F1" s="125"/>
      <c r="G1" s="125"/>
      <c r="H1" s="125"/>
      <c r="I1" s="125"/>
      <c r="J1" s="125"/>
    </row>
    <row r="2" spans="2:11" s="4" customFormat="1" ht="20.100000000000001" customHeight="1">
      <c r="B2" s="126" t="s">
        <v>1</v>
      </c>
      <c r="C2" s="70"/>
      <c r="D2" s="127"/>
      <c r="E2" s="127"/>
      <c r="F2" s="127"/>
      <c r="G2" s="127"/>
      <c r="H2" s="127"/>
      <c r="I2" s="127"/>
      <c r="J2" s="128"/>
    </row>
    <row r="3" spans="2:11" ht="20.100000000000001" customHeight="1">
      <c r="B3" s="129"/>
      <c r="C3" s="29"/>
      <c r="D3" s="29"/>
      <c r="E3" s="29"/>
      <c r="F3" s="29"/>
      <c r="G3" s="29"/>
      <c r="H3" s="29"/>
      <c r="I3" s="29"/>
      <c r="J3" s="130"/>
    </row>
    <row r="4" spans="2:11" ht="15" customHeight="1">
      <c r="B4" s="129"/>
      <c r="C4" s="135" t="s">
        <v>2</v>
      </c>
      <c r="D4" s="136" t="s">
        <v>48</v>
      </c>
      <c r="E4" s="136">
        <v>4</v>
      </c>
      <c r="F4" s="137">
        <v>2</v>
      </c>
      <c r="G4" s="137">
        <v>1</v>
      </c>
      <c r="H4" s="136">
        <v>0</v>
      </c>
      <c r="I4" s="29"/>
      <c r="J4" s="131"/>
      <c r="K4" s="5"/>
    </row>
    <row r="5" spans="2:11" ht="20.100000000000001" customHeight="1">
      <c r="B5" s="129"/>
      <c r="C5" s="27"/>
      <c r="D5" s="27"/>
      <c r="E5" s="27"/>
      <c r="F5" s="27"/>
      <c r="G5" s="27"/>
      <c r="H5" s="27"/>
      <c r="I5" s="16"/>
      <c r="J5" s="130"/>
    </row>
    <row r="6" spans="2:11" s="4" customFormat="1" ht="20.100000000000001" customHeight="1">
      <c r="B6" s="126" t="s">
        <v>3</v>
      </c>
      <c r="C6" s="70"/>
      <c r="D6" s="127"/>
      <c r="E6" s="127"/>
      <c r="F6" s="127"/>
      <c r="G6" s="127"/>
      <c r="H6" s="127"/>
      <c r="I6" s="127"/>
      <c r="J6" s="128"/>
      <c r="K6" s="1"/>
    </row>
    <row r="7" spans="2:11" ht="20.100000000000001" customHeight="1">
      <c r="B7" s="129"/>
      <c r="C7" s="17"/>
      <c r="D7" s="17"/>
      <c r="E7" s="17"/>
      <c r="F7" s="17"/>
      <c r="G7" s="17"/>
      <c r="H7" s="17"/>
      <c r="I7" s="17"/>
      <c r="J7" s="132"/>
    </row>
    <row r="8" spans="2:11" ht="15" customHeight="1">
      <c r="B8" s="129"/>
      <c r="C8" s="135" t="s">
        <v>4</v>
      </c>
      <c r="D8" s="138" t="s">
        <v>5</v>
      </c>
      <c r="E8" s="135" t="s">
        <v>6</v>
      </c>
      <c r="F8" s="139"/>
      <c r="G8" s="139"/>
      <c r="H8" s="138" t="s">
        <v>7</v>
      </c>
      <c r="I8" s="138" t="s">
        <v>8</v>
      </c>
      <c r="J8" s="132"/>
    </row>
    <row r="9" spans="2:11" ht="15" customHeight="1">
      <c r="B9" s="129"/>
      <c r="C9" s="140" t="s">
        <v>52</v>
      </c>
      <c r="D9" s="136">
        <v>1</v>
      </c>
      <c r="E9" s="141" t="str">
        <f>C9</f>
        <v>Data</v>
      </c>
      <c r="F9" s="142"/>
      <c r="G9" s="142"/>
      <c r="H9" s="145"/>
      <c r="I9" s="146"/>
      <c r="J9" s="132"/>
    </row>
    <row r="10" spans="2:11" ht="15" customHeight="1">
      <c r="B10" s="129"/>
      <c r="C10" s="143"/>
      <c r="D10" s="136">
        <f>D9+1</f>
        <v>2</v>
      </c>
      <c r="E10" s="144"/>
      <c r="F10" s="144"/>
      <c r="G10" s="144"/>
      <c r="H10" s="147"/>
      <c r="I10" s="148"/>
      <c r="J10" s="132"/>
    </row>
    <row r="11" spans="2:11" ht="15" customHeight="1">
      <c r="B11" s="129"/>
      <c r="C11" s="143"/>
      <c r="D11" s="136">
        <f>D10+1</f>
        <v>3</v>
      </c>
      <c r="E11" s="144"/>
      <c r="F11" s="144"/>
      <c r="G11" s="144"/>
      <c r="H11" s="149"/>
      <c r="I11" s="150"/>
      <c r="J11" s="132"/>
    </row>
    <row r="12" spans="2:11" ht="20.100000000000001" customHeight="1">
      <c r="B12" s="129"/>
      <c r="C12" s="17"/>
      <c r="D12" s="17"/>
      <c r="E12" s="17"/>
      <c r="F12" s="17"/>
      <c r="G12" s="17"/>
      <c r="H12" s="17"/>
      <c r="I12" s="17"/>
      <c r="J12" s="132"/>
    </row>
    <row r="13" spans="2:11" s="4" customFormat="1" ht="20.100000000000001" customHeight="1">
      <c r="B13" s="126" t="s">
        <v>9</v>
      </c>
      <c r="C13" s="70"/>
      <c r="D13" s="127"/>
      <c r="E13" s="127"/>
      <c r="F13" s="127"/>
      <c r="G13" s="127"/>
      <c r="H13" s="127"/>
      <c r="I13" s="127"/>
      <c r="J13" s="128"/>
    </row>
    <row r="14" spans="2:11" ht="20.100000000000001" customHeight="1">
      <c r="B14" s="129"/>
      <c r="C14" s="17"/>
      <c r="D14" s="17"/>
      <c r="E14" s="17"/>
      <c r="F14" s="17"/>
      <c r="G14" s="17"/>
      <c r="H14" s="16"/>
      <c r="I14" s="16"/>
      <c r="J14" s="132"/>
    </row>
    <row r="15" spans="2:11" ht="15" customHeight="1">
      <c r="B15" s="129"/>
      <c r="C15" s="151" t="s">
        <v>195</v>
      </c>
      <c r="D15" s="136">
        <v>0</v>
      </c>
      <c r="E15" s="153" t="s">
        <v>51</v>
      </c>
      <c r="F15" s="154"/>
      <c r="G15" s="30"/>
      <c r="H15" s="16"/>
      <c r="I15" s="16"/>
      <c r="J15" s="132"/>
    </row>
    <row r="16" spans="2:11" ht="15" customHeight="1">
      <c r="B16" s="129"/>
      <c r="C16" s="43"/>
      <c r="D16" s="136">
        <v>1</v>
      </c>
      <c r="E16" s="282">
        <v>42277</v>
      </c>
      <c r="F16" s="283"/>
      <c r="G16" s="30"/>
      <c r="H16" s="16"/>
      <c r="I16" s="16"/>
      <c r="J16" s="132"/>
    </row>
    <row r="17" spans="2:11" ht="15" customHeight="1">
      <c r="B17" s="129"/>
      <c r="C17" s="43"/>
      <c r="D17" s="136">
        <v>2</v>
      </c>
      <c r="E17" s="282">
        <v>42308</v>
      </c>
      <c r="F17" s="283"/>
      <c r="G17" s="30"/>
      <c r="H17" s="16"/>
      <c r="I17" s="16"/>
      <c r="J17" s="132"/>
    </row>
    <row r="18" spans="2:11" ht="15" customHeight="1">
      <c r="B18" s="129"/>
      <c r="C18" s="43"/>
      <c r="D18" s="136">
        <v>3</v>
      </c>
      <c r="E18" s="282">
        <v>42338</v>
      </c>
      <c r="F18" s="283"/>
      <c r="G18" s="30"/>
      <c r="H18" s="16"/>
      <c r="I18" s="16"/>
      <c r="J18" s="132"/>
    </row>
    <row r="19" spans="2:11" ht="15" customHeight="1">
      <c r="B19" s="129"/>
      <c r="C19" s="43"/>
      <c r="D19" s="136">
        <v>4</v>
      </c>
      <c r="E19" s="282">
        <v>42369</v>
      </c>
      <c r="F19" s="283"/>
      <c r="G19" s="30"/>
      <c r="H19" s="16"/>
      <c r="I19" s="16"/>
      <c r="J19" s="132"/>
    </row>
    <row r="20" spans="2:11" ht="15" customHeight="1">
      <c r="B20" s="129"/>
      <c r="C20" s="43"/>
      <c r="D20" s="136">
        <v>5</v>
      </c>
      <c r="E20" s="282">
        <v>42400</v>
      </c>
      <c r="F20" s="283"/>
      <c r="G20" s="30"/>
      <c r="H20" s="16"/>
      <c r="I20" s="16"/>
      <c r="J20" s="132"/>
    </row>
    <row r="21" spans="2:11" ht="15" customHeight="1">
      <c r="B21" s="129"/>
      <c r="C21" s="43"/>
      <c r="D21" s="136">
        <v>6</v>
      </c>
      <c r="E21" s="282">
        <v>42428</v>
      </c>
      <c r="F21" s="283"/>
      <c r="G21" s="30"/>
      <c r="H21" s="16"/>
      <c r="I21" s="16"/>
      <c r="J21" s="132"/>
    </row>
    <row r="22" spans="2:11" ht="15" customHeight="1">
      <c r="B22" s="129"/>
      <c r="C22" s="43"/>
      <c r="D22" s="136">
        <v>7</v>
      </c>
      <c r="E22" s="282">
        <v>42460</v>
      </c>
      <c r="F22" s="283"/>
      <c r="G22" s="30"/>
      <c r="H22" s="16"/>
      <c r="I22" s="16"/>
      <c r="J22" s="132"/>
      <c r="K22" s="2"/>
    </row>
    <row r="23" spans="2:11" ht="15" customHeight="1">
      <c r="B23" s="129"/>
      <c r="C23" s="43"/>
      <c r="D23" s="31"/>
      <c r="E23" s="30"/>
      <c r="F23" s="30"/>
      <c r="G23" s="30"/>
      <c r="H23" s="16"/>
      <c r="I23" s="16"/>
      <c r="J23" s="132"/>
      <c r="K23" s="2"/>
    </row>
    <row r="24" spans="2:11" ht="15" customHeight="1">
      <c r="B24" s="129"/>
      <c r="C24" s="151" t="s">
        <v>45</v>
      </c>
      <c r="D24" s="136">
        <v>0</v>
      </c>
      <c r="E24" s="140" t="s">
        <v>51</v>
      </c>
      <c r="F24" s="30"/>
      <c r="G24" s="30"/>
      <c r="H24" s="16"/>
      <c r="I24" s="16"/>
      <c r="J24" s="132"/>
      <c r="K24" s="2"/>
    </row>
    <row r="25" spans="2:11" ht="15" customHeight="1">
      <c r="B25" s="129"/>
      <c r="C25" s="17"/>
      <c r="D25" s="136">
        <v>1</v>
      </c>
      <c r="E25" s="152" t="s">
        <v>22</v>
      </c>
      <c r="F25" s="30"/>
      <c r="G25" s="30"/>
      <c r="H25" s="16"/>
      <c r="I25" s="16"/>
      <c r="J25" s="132"/>
      <c r="K25" s="2"/>
    </row>
    <row r="26" spans="2:11" ht="15" customHeight="1">
      <c r="B26" s="129"/>
      <c r="C26" s="17"/>
      <c r="D26" s="136">
        <v>2</v>
      </c>
      <c r="E26" s="152" t="s">
        <v>23</v>
      </c>
      <c r="F26" s="30"/>
      <c r="G26" s="30"/>
      <c r="H26" s="16"/>
      <c r="I26" s="16"/>
      <c r="J26" s="132"/>
      <c r="K26" s="2"/>
    </row>
    <row r="27" spans="2:11" ht="15" customHeight="1">
      <c r="B27" s="129"/>
      <c r="C27" s="17"/>
      <c r="D27" s="136">
        <v>3</v>
      </c>
      <c r="E27" s="152" t="s">
        <v>24</v>
      </c>
      <c r="F27" s="30"/>
      <c r="G27" s="30"/>
      <c r="H27" s="16"/>
      <c r="I27" s="16"/>
      <c r="J27" s="132"/>
      <c r="K27" s="2"/>
    </row>
    <row r="28" spans="2:11" ht="15" customHeight="1">
      <c r="B28" s="129"/>
      <c r="C28" s="17"/>
      <c r="D28" s="136">
        <v>4</v>
      </c>
      <c r="E28" s="152" t="s">
        <v>25</v>
      </c>
      <c r="F28" s="30"/>
      <c r="G28" s="30"/>
      <c r="H28" s="16"/>
      <c r="I28" s="16"/>
      <c r="J28" s="132"/>
      <c r="K28" s="2"/>
    </row>
    <row r="29" spans="2:11" ht="15" customHeight="1">
      <c r="B29" s="129"/>
      <c r="C29" s="16"/>
      <c r="D29" s="136">
        <v>5</v>
      </c>
      <c r="E29" s="140" t="s">
        <v>26</v>
      </c>
      <c r="F29" s="16"/>
      <c r="G29" s="16"/>
      <c r="H29" s="16"/>
      <c r="I29" s="16"/>
      <c r="J29" s="132"/>
      <c r="K29" s="2"/>
    </row>
    <row r="30" spans="2:11" ht="15" customHeight="1">
      <c r="B30" s="129"/>
      <c r="C30" s="17"/>
      <c r="D30" s="136">
        <v>6</v>
      </c>
      <c r="E30" s="152" t="s">
        <v>27</v>
      </c>
      <c r="F30" s="17"/>
      <c r="G30" s="17"/>
      <c r="H30" s="17"/>
      <c r="I30" s="17"/>
      <c r="J30" s="132"/>
      <c r="K30" s="2"/>
    </row>
    <row r="31" spans="2:11" ht="15" customHeight="1">
      <c r="B31" s="129"/>
      <c r="C31" s="17"/>
      <c r="D31" s="136">
        <v>7</v>
      </c>
      <c r="E31" s="152" t="s">
        <v>28</v>
      </c>
      <c r="F31" s="17"/>
      <c r="G31" s="17"/>
      <c r="H31" s="17"/>
      <c r="I31" s="17"/>
      <c r="J31" s="132"/>
      <c r="K31" s="2"/>
    </row>
    <row r="32" spans="2:11" ht="15" customHeight="1">
      <c r="B32" s="129"/>
      <c r="C32" s="17"/>
      <c r="D32" s="136">
        <v>8</v>
      </c>
      <c r="E32" s="152" t="s">
        <v>29</v>
      </c>
      <c r="F32" s="17"/>
      <c r="G32" s="17"/>
      <c r="H32" s="17"/>
      <c r="I32" s="17"/>
      <c r="J32" s="132"/>
      <c r="K32" s="2"/>
    </row>
    <row r="33" spans="2:11" ht="15" customHeight="1">
      <c r="B33" s="129"/>
      <c r="C33" s="17"/>
      <c r="D33" s="136">
        <v>9</v>
      </c>
      <c r="E33" s="152" t="s">
        <v>30</v>
      </c>
      <c r="F33" s="17"/>
      <c r="G33" s="17"/>
      <c r="H33" s="17"/>
      <c r="I33" s="17"/>
      <c r="J33" s="132"/>
      <c r="K33" s="2"/>
    </row>
    <row r="34" spans="2:11" ht="15" customHeight="1">
      <c r="B34" s="129"/>
      <c r="C34" s="17"/>
      <c r="D34" s="136">
        <v>10</v>
      </c>
      <c r="E34" s="152" t="s">
        <v>31</v>
      </c>
      <c r="F34" s="17"/>
      <c r="G34" s="17"/>
      <c r="H34" s="17"/>
      <c r="I34" s="17"/>
      <c r="J34" s="132"/>
      <c r="K34" s="2"/>
    </row>
    <row r="35" spans="2:11" ht="15" customHeight="1">
      <c r="B35" s="129"/>
      <c r="C35" s="17"/>
      <c r="D35" s="136">
        <v>11</v>
      </c>
      <c r="E35" s="152" t="s">
        <v>32</v>
      </c>
      <c r="F35" s="17"/>
      <c r="G35" s="17"/>
      <c r="H35" s="17"/>
      <c r="I35" s="17"/>
      <c r="J35" s="132"/>
      <c r="K35" s="2"/>
    </row>
    <row r="36" spans="2:11" ht="15" customHeight="1">
      <c r="B36" s="129"/>
      <c r="C36" s="17"/>
      <c r="D36" s="136">
        <v>12</v>
      </c>
      <c r="E36" s="152" t="s">
        <v>55</v>
      </c>
      <c r="F36" s="17"/>
      <c r="G36" s="17"/>
      <c r="H36" s="17"/>
      <c r="I36" s="17"/>
      <c r="J36" s="132"/>
      <c r="K36" s="2"/>
    </row>
    <row r="37" spans="2:11" ht="15" customHeight="1">
      <c r="B37" s="129"/>
      <c r="C37" s="17"/>
      <c r="D37" s="136">
        <v>13</v>
      </c>
      <c r="E37" s="152" t="s">
        <v>33</v>
      </c>
      <c r="F37" s="17"/>
      <c r="G37" s="17"/>
      <c r="H37" s="17"/>
      <c r="I37" s="17"/>
      <c r="J37" s="132"/>
      <c r="K37" s="2"/>
    </row>
    <row r="38" spans="2:11" ht="15" customHeight="1">
      <c r="B38" s="129"/>
      <c r="C38" s="17"/>
      <c r="D38" s="136">
        <v>14</v>
      </c>
      <c r="E38" s="152" t="s">
        <v>34</v>
      </c>
      <c r="F38" s="17"/>
      <c r="G38" s="17"/>
      <c r="H38" s="17"/>
      <c r="I38" s="17"/>
      <c r="J38" s="132"/>
      <c r="K38" s="2"/>
    </row>
    <row r="39" spans="2:11" ht="15" customHeight="1">
      <c r="B39" s="129"/>
      <c r="C39" s="17"/>
      <c r="D39" s="136">
        <v>15</v>
      </c>
      <c r="E39" s="152" t="s">
        <v>35</v>
      </c>
      <c r="F39" s="17"/>
      <c r="G39" s="17"/>
      <c r="H39" s="17"/>
      <c r="I39" s="17"/>
      <c r="J39" s="132"/>
      <c r="K39" s="2"/>
    </row>
    <row r="40" spans="2:11" ht="15" customHeight="1">
      <c r="B40" s="129"/>
      <c r="C40" s="17"/>
      <c r="D40" s="136">
        <v>16</v>
      </c>
      <c r="E40" s="152" t="s">
        <v>36</v>
      </c>
      <c r="F40" s="17"/>
      <c r="G40" s="17"/>
      <c r="H40" s="17"/>
      <c r="I40" s="17"/>
      <c r="J40" s="132"/>
      <c r="K40" s="2"/>
    </row>
    <row r="41" spans="2:11" ht="15" customHeight="1">
      <c r="B41" s="129"/>
      <c r="C41" s="17"/>
      <c r="D41" s="136">
        <v>17</v>
      </c>
      <c r="E41" s="152" t="s">
        <v>37</v>
      </c>
      <c r="F41" s="17"/>
      <c r="G41" s="17"/>
      <c r="H41" s="17"/>
      <c r="I41" s="17"/>
      <c r="J41" s="132"/>
      <c r="K41" s="2"/>
    </row>
    <row r="42" spans="2:11" ht="15" customHeight="1">
      <c r="B42" s="129"/>
      <c r="C42" s="17"/>
      <c r="D42" s="136">
        <v>18</v>
      </c>
      <c r="E42" s="140" t="s">
        <v>54</v>
      </c>
      <c r="F42" s="17"/>
      <c r="G42" s="17"/>
      <c r="H42" s="17"/>
      <c r="I42" s="17"/>
      <c r="J42" s="132"/>
      <c r="K42" s="2"/>
    </row>
    <row r="43" spans="2:11" ht="15" customHeight="1">
      <c r="B43" s="129"/>
      <c r="C43" s="17"/>
      <c r="D43" s="136">
        <v>19</v>
      </c>
      <c r="E43" s="140" t="s">
        <v>38</v>
      </c>
      <c r="F43" s="17"/>
      <c r="G43" s="17"/>
      <c r="H43" s="17"/>
      <c r="I43" s="17"/>
      <c r="J43" s="132"/>
      <c r="K43" s="2"/>
    </row>
    <row r="44" spans="2:11" ht="15" customHeight="1">
      <c r="B44" s="129"/>
      <c r="C44" s="17"/>
      <c r="D44" s="136">
        <v>20</v>
      </c>
      <c r="E44" s="140" t="s">
        <v>53</v>
      </c>
      <c r="F44" s="17"/>
      <c r="G44" s="17"/>
      <c r="H44" s="17"/>
      <c r="I44" s="17"/>
      <c r="J44" s="132"/>
      <c r="K44" s="2"/>
    </row>
    <row r="45" spans="2:11" ht="15" customHeight="1">
      <c r="B45" s="129"/>
      <c r="C45" s="17"/>
      <c r="D45" s="136">
        <v>21</v>
      </c>
      <c r="E45" s="152" t="s">
        <v>39</v>
      </c>
      <c r="F45" s="17"/>
      <c r="G45" s="17"/>
      <c r="H45" s="17"/>
      <c r="I45" s="17"/>
      <c r="J45" s="132"/>
      <c r="K45" s="2"/>
    </row>
    <row r="46" spans="2:11" ht="15" customHeight="1">
      <c r="B46" s="129"/>
      <c r="C46" s="17"/>
      <c r="D46" s="17"/>
      <c r="E46" s="17"/>
      <c r="F46" s="17"/>
      <c r="G46" s="17"/>
      <c r="H46" s="17"/>
      <c r="I46" s="17"/>
      <c r="J46" s="132"/>
      <c r="K46" s="2"/>
    </row>
    <row r="47" spans="2:11" ht="15" customHeight="1">
      <c r="B47" s="129"/>
      <c r="C47" s="151" t="s">
        <v>196</v>
      </c>
      <c r="D47" s="143"/>
      <c r="E47" s="284" t="s">
        <v>197</v>
      </c>
      <c r="F47" s="284"/>
      <c r="G47" s="284"/>
      <c r="H47" s="17"/>
      <c r="I47" s="2"/>
      <c r="J47" s="132"/>
      <c r="K47" s="2"/>
    </row>
    <row r="48" spans="2:11" ht="15" customHeight="1">
      <c r="B48" s="129"/>
      <c r="C48" s="43"/>
      <c r="D48" s="136">
        <v>0</v>
      </c>
      <c r="E48" s="140" t="s">
        <v>51</v>
      </c>
      <c r="F48" s="156" t="s">
        <v>606</v>
      </c>
      <c r="G48" s="157"/>
      <c r="H48" s="17"/>
      <c r="I48" s="17"/>
      <c r="J48" s="132"/>
      <c r="K48" s="2"/>
    </row>
    <row r="49" spans="2:11" ht="15" customHeight="1">
      <c r="B49" s="129"/>
      <c r="C49" s="43"/>
      <c r="D49" s="136">
        <v>1</v>
      </c>
      <c r="E49" s="155" t="s">
        <v>16</v>
      </c>
      <c r="F49" s="263">
        <v>0.67127609600000004</v>
      </c>
      <c r="G49" s="264"/>
      <c r="H49" s="17"/>
      <c r="I49" s="17"/>
      <c r="J49" s="132"/>
      <c r="K49" s="2"/>
    </row>
    <row r="50" spans="2:11" ht="15" customHeight="1">
      <c r="B50" s="129"/>
      <c r="C50" s="17"/>
      <c r="D50" s="136">
        <v>2</v>
      </c>
      <c r="E50" s="152" t="s">
        <v>21</v>
      </c>
      <c r="F50" s="265">
        <v>0.23192708200000001</v>
      </c>
      <c r="G50" s="266"/>
      <c r="H50" s="17"/>
      <c r="I50" s="17"/>
      <c r="J50" s="132"/>
      <c r="K50" s="2"/>
    </row>
    <row r="51" spans="2:11" ht="15" customHeight="1">
      <c r="B51" s="129"/>
      <c r="C51" s="17"/>
      <c r="D51" s="136">
        <v>3</v>
      </c>
      <c r="E51" s="152" t="s">
        <v>17</v>
      </c>
      <c r="F51" s="265">
        <v>0.66155067499999998</v>
      </c>
      <c r="G51" s="266"/>
      <c r="H51" s="17"/>
      <c r="I51" s="17"/>
      <c r="J51" s="132"/>
      <c r="K51" s="2"/>
    </row>
    <row r="52" spans="2:11" ht="15" customHeight="1">
      <c r="B52" s="129"/>
      <c r="C52" s="17"/>
      <c r="D52" s="136">
        <v>4</v>
      </c>
      <c r="E52" s="152" t="s">
        <v>19</v>
      </c>
      <c r="F52" s="265">
        <v>0.92293493299999996</v>
      </c>
      <c r="G52" s="266"/>
      <c r="H52" s="17"/>
      <c r="I52" s="17"/>
      <c r="J52" s="132"/>
      <c r="K52" s="2"/>
    </row>
    <row r="53" spans="2:11" ht="15" customHeight="1">
      <c r="B53" s="129"/>
      <c r="C53" s="16"/>
      <c r="D53" s="136">
        <v>5</v>
      </c>
      <c r="E53" s="140" t="s">
        <v>14</v>
      </c>
      <c r="F53" s="265">
        <v>0.141627011</v>
      </c>
      <c r="G53" s="267"/>
      <c r="H53" s="17"/>
      <c r="I53" s="17"/>
      <c r="J53" s="132"/>
      <c r="K53" s="2"/>
    </row>
    <row r="54" spans="2:11" ht="15" customHeight="1">
      <c r="B54" s="129"/>
      <c r="C54" s="16"/>
      <c r="D54" s="136">
        <v>6</v>
      </c>
      <c r="E54" s="140" t="s">
        <v>42</v>
      </c>
      <c r="F54" s="265">
        <v>0.13400155399999999</v>
      </c>
      <c r="G54" s="267"/>
      <c r="H54" s="17"/>
      <c r="I54" s="17"/>
      <c r="J54" s="132"/>
      <c r="K54" s="2"/>
    </row>
    <row r="55" spans="2:11" ht="15" customHeight="1">
      <c r="B55" s="129"/>
      <c r="C55" s="17"/>
      <c r="D55" s="136">
        <v>7</v>
      </c>
      <c r="E55" s="152" t="s">
        <v>11</v>
      </c>
      <c r="F55" s="265">
        <v>1</v>
      </c>
      <c r="G55" s="268"/>
      <c r="H55" s="17"/>
      <c r="I55" s="17"/>
      <c r="J55" s="132"/>
      <c r="K55" s="2"/>
    </row>
    <row r="56" spans="2:11" ht="15" customHeight="1">
      <c r="B56" s="129"/>
      <c r="C56" s="17"/>
      <c r="D56" s="136">
        <v>8</v>
      </c>
      <c r="E56" s="152" t="s">
        <v>12</v>
      </c>
      <c r="F56" s="265">
        <v>1.362490633</v>
      </c>
      <c r="G56" s="268"/>
      <c r="H56" s="17"/>
      <c r="I56" s="17"/>
      <c r="J56" s="132"/>
      <c r="K56" s="2"/>
    </row>
    <row r="57" spans="2:11" ht="15" customHeight="1">
      <c r="B57" s="129"/>
      <c r="C57" s="17"/>
      <c r="D57" s="136">
        <v>9</v>
      </c>
      <c r="E57" s="152" t="s">
        <v>15</v>
      </c>
      <c r="F57" s="265">
        <v>0.11851711400000001</v>
      </c>
      <c r="G57" s="268"/>
      <c r="H57" s="17"/>
      <c r="I57" s="17"/>
      <c r="J57" s="132"/>
      <c r="K57" s="2"/>
    </row>
    <row r="58" spans="2:11" ht="15" customHeight="1">
      <c r="B58" s="129"/>
      <c r="C58" s="17"/>
      <c r="D58" s="136">
        <v>10</v>
      </c>
      <c r="E58" s="152" t="s">
        <v>20</v>
      </c>
      <c r="F58" s="265">
        <v>1.3884743E-2</v>
      </c>
      <c r="G58" s="268"/>
      <c r="H58" s="17"/>
      <c r="I58" s="17"/>
      <c r="J58" s="132"/>
      <c r="K58" s="2"/>
    </row>
    <row r="59" spans="2:11" ht="15" customHeight="1">
      <c r="B59" s="129"/>
      <c r="C59" s="17"/>
      <c r="D59" s="136">
        <v>11</v>
      </c>
      <c r="E59" s="152" t="s">
        <v>13</v>
      </c>
      <c r="F59" s="265">
        <v>7.6295110000000003E-3</v>
      </c>
      <c r="G59" s="268"/>
      <c r="H59" s="17"/>
      <c r="I59" s="17"/>
      <c r="J59" s="132"/>
      <c r="K59" s="2"/>
    </row>
    <row r="60" spans="2:11" ht="15" customHeight="1">
      <c r="B60" s="129"/>
      <c r="C60" s="17"/>
      <c r="D60" s="136">
        <v>12</v>
      </c>
      <c r="E60" s="152" t="s">
        <v>40</v>
      </c>
      <c r="F60" s="265">
        <v>7.8077400000000003E-4</v>
      </c>
      <c r="G60" s="268"/>
      <c r="H60" s="17"/>
      <c r="I60" s="17"/>
      <c r="J60" s="132"/>
      <c r="K60" s="2"/>
    </row>
    <row r="61" spans="2:11" ht="15" customHeight="1">
      <c r="B61" s="129"/>
      <c r="C61" s="17"/>
      <c r="D61" s="136">
        <v>13</v>
      </c>
      <c r="E61" s="155" t="s">
        <v>188</v>
      </c>
      <c r="F61" s="265">
        <v>5.2869491999999997E-2</v>
      </c>
      <c r="G61" s="268"/>
      <c r="H61" s="17"/>
      <c r="I61" s="17"/>
      <c r="J61" s="132"/>
      <c r="K61" s="2"/>
    </row>
    <row r="62" spans="2:11" ht="15" customHeight="1">
      <c r="B62" s="129"/>
      <c r="C62" s="17"/>
      <c r="D62" s="136">
        <v>14</v>
      </c>
      <c r="E62" s="152" t="s">
        <v>41</v>
      </c>
      <c r="F62" s="265">
        <v>0.10413412499999999</v>
      </c>
      <c r="G62" s="268"/>
      <c r="H62" s="17"/>
      <c r="I62" s="17"/>
      <c r="J62" s="132"/>
      <c r="K62" s="2"/>
    </row>
    <row r="63" spans="2:11" ht="15" customHeight="1">
      <c r="B63" s="129"/>
      <c r="C63" s="17"/>
      <c r="D63" s="136">
        <v>15</v>
      </c>
      <c r="E63" s="155" t="s">
        <v>189</v>
      </c>
      <c r="F63" s="265">
        <v>0.62802235799999995</v>
      </c>
      <c r="G63" s="268"/>
      <c r="H63" s="17"/>
      <c r="I63" s="17"/>
      <c r="J63" s="132"/>
      <c r="K63" s="2"/>
    </row>
    <row r="64" spans="2:11" ht="15" customHeight="1">
      <c r="B64" s="129"/>
      <c r="C64" s="17"/>
      <c r="D64" s="136">
        <v>16</v>
      </c>
      <c r="E64" s="152" t="s">
        <v>57</v>
      </c>
      <c r="F64" s="265">
        <v>1.2395629E-2</v>
      </c>
      <c r="G64" s="268"/>
      <c r="H64" s="17"/>
      <c r="I64" s="17"/>
      <c r="J64" s="132"/>
      <c r="K64" s="2"/>
    </row>
    <row r="65" spans="2:11" ht="15" customHeight="1">
      <c r="B65" s="129"/>
      <c r="C65" s="17"/>
      <c r="D65" s="136">
        <v>17</v>
      </c>
      <c r="E65" s="152" t="s">
        <v>43</v>
      </c>
      <c r="F65" s="265">
        <v>0.108819849</v>
      </c>
      <c r="G65" s="268"/>
      <c r="H65" s="17"/>
      <c r="I65" s="17"/>
      <c r="J65" s="132"/>
      <c r="K65" s="2"/>
    </row>
    <row r="66" spans="2:11" ht="15" customHeight="1">
      <c r="B66" s="129"/>
      <c r="C66" s="17"/>
      <c r="D66" s="136">
        <v>18</v>
      </c>
      <c r="E66" s="152" t="s">
        <v>18</v>
      </c>
      <c r="F66" s="265">
        <v>0.64863462400000005</v>
      </c>
      <c r="G66" s="268"/>
      <c r="H66" s="17"/>
      <c r="I66" s="17"/>
      <c r="J66" s="132"/>
      <c r="K66" s="2"/>
    </row>
    <row r="67" spans="2:11" ht="15" customHeight="1">
      <c r="B67" s="129"/>
      <c r="C67" s="17"/>
      <c r="D67" s="136">
        <v>19</v>
      </c>
      <c r="E67" s="152" t="s">
        <v>10</v>
      </c>
      <c r="F67" s="269">
        <v>0.91852668299999995</v>
      </c>
      <c r="G67" s="270"/>
      <c r="H67" s="17"/>
      <c r="I67" s="17"/>
      <c r="J67" s="132"/>
      <c r="K67" s="2"/>
    </row>
    <row r="68" spans="2:11" ht="15" customHeight="1">
      <c r="B68" s="129"/>
      <c r="C68" s="17"/>
      <c r="D68" s="31"/>
      <c r="E68" s="30"/>
      <c r="F68" s="17"/>
      <c r="G68" s="17"/>
      <c r="H68" s="17"/>
      <c r="I68" s="17"/>
      <c r="J68" s="132"/>
      <c r="K68" s="2"/>
    </row>
    <row r="69" spans="2:11" ht="15" customHeight="1">
      <c r="B69" s="129"/>
      <c r="C69" s="151" t="s">
        <v>46</v>
      </c>
      <c r="D69" s="136">
        <v>0</v>
      </c>
      <c r="E69" s="158" t="s">
        <v>51</v>
      </c>
      <c r="F69" s="159"/>
      <c r="G69" s="154"/>
      <c r="H69" s="17"/>
      <c r="I69" s="17"/>
      <c r="J69" s="132"/>
      <c r="K69" s="2"/>
    </row>
    <row r="70" spans="2:11" ht="15" customHeight="1">
      <c r="B70" s="129"/>
      <c r="C70" s="43"/>
      <c r="D70" s="136">
        <v>1</v>
      </c>
      <c r="E70" s="160">
        <v>1</v>
      </c>
      <c r="F70" s="161" t="s">
        <v>132</v>
      </c>
      <c r="G70" s="162" t="s">
        <v>137</v>
      </c>
      <c r="H70" s="17"/>
      <c r="I70" s="17"/>
      <c r="J70" s="132"/>
    </row>
    <row r="71" spans="2:11" ht="15" customHeight="1">
      <c r="B71" s="129"/>
      <c r="C71" s="17"/>
      <c r="D71" s="136">
        <v>2</v>
      </c>
      <c r="E71" s="160">
        <v>1000</v>
      </c>
      <c r="F71" s="161" t="s">
        <v>133</v>
      </c>
      <c r="G71" s="162" t="s">
        <v>135</v>
      </c>
      <c r="H71" s="17"/>
      <c r="I71" s="17"/>
      <c r="J71" s="132"/>
    </row>
    <row r="72" spans="2:11" ht="15" customHeight="1">
      <c r="B72" s="129"/>
      <c r="C72" s="17"/>
      <c r="D72" s="136">
        <v>3</v>
      </c>
      <c r="E72" s="160">
        <v>1000000</v>
      </c>
      <c r="F72" s="161" t="s">
        <v>134</v>
      </c>
      <c r="G72" s="162" t="s">
        <v>136</v>
      </c>
      <c r="H72" s="17"/>
      <c r="I72" s="17"/>
      <c r="J72" s="132"/>
    </row>
    <row r="73" spans="2:11" ht="15" customHeight="1">
      <c r="B73" s="129"/>
      <c r="C73" s="17"/>
      <c r="D73" s="31"/>
      <c r="E73" s="30"/>
      <c r="F73" s="17"/>
      <c r="G73" s="17"/>
      <c r="H73" s="17"/>
      <c r="I73" s="17"/>
      <c r="J73" s="132"/>
    </row>
    <row r="74" spans="2:11" ht="15" customHeight="1">
      <c r="B74" s="129"/>
      <c r="C74" s="151" t="s">
        <v>47</v>
      </c>
      <c r="D74" s="136">
        <v>0</v>
      </c>
      <c r="E74" s="158" t="s">
        <v>51</v>
      </c>
      <c r="F74" s="163"/>
      <c r="G74" s="154"/>
      <c r="H74" s="17"/>
      <c r="I74" s="17"/>
      <c r="J74" s="132"/>
    </row>
    <row r="75" spans="2:11" ht="15" customHeight="1">
      <c r="B75" s="129"/>
      <c r="C75" s="43"/>
      <c r="D75" s="136">
        <v>1</v>
      </c>
      <c r="E75" s="164" t="s">
        <v>44</v>
      </c>
      <c r="F75" s="163"/>
      <c r="G75" s="154"/>
      <c r="H75" s="17"/>
      <c r="I75" s="17"/>
      <c r="J75" s="132"/>
    </row>
    <row r="76" spans="2:11" ht="15" customHeight="1">
      <c r="B76" s="129"/>
      <c r="C76" s="17"/>
      <c r="D76" s="136">
        <v>2</v>
      </c>
      <c r="E76" s="164" t="s">
        <v>56</v>
      </c>
      <c r="F76" s="163"/>
      <c r="G76" s="154"/>
      <c r="H76" s="17"/>
      <c r="I76" s="17"/>
      <c r="J76" s="132"/>
    </row>
    <row r="77" spans="2:11" ht="15" customHeight="1">
      <c r="B77" s="129"/>
      <c r="C77" s="17"/>
      <c r="D77" s="136">
        <v>3</v>
      </c>
      <c r="E77" s="164" t="s">
        <v>49</v>
      </c>
      <c r="F77" s="163"/>
      <c r="G77" s="154"/>
      <c r="H77" s="17"/>
      <c r="I77" s="17"/>
      <c r="J77" s="132"/>
    </row>
    <row r="78" spans="2:11" ht="15" customHeight="1">
      <c r="B78" s="129"/>
      <c r="C78" s="17"/>
      <c r="D78" s="31"/>
      <c r="E78" s="30"/>
      <c r="F78" s="17"/>
      <c r="G78" s="17"/>
      <c r="H78" s="17"/>
      <c r="I78" s="17"/>
      <c r="J78" s="132"/>
    </row>
    <row r="79" spans="2:11" ht="15" customHeight="1">
      <c r="B79" s="129"/>
      <c r="C79" s="151" t="s">
        <v>180</v>
      </c>
      <c r="D79" s="136">
        <v>0</v>
      </c>
      <c r="E79" s="165"/>
      <c r="F79" s="154"/>
      <c r="G79" s="30"/>
      <c r="H79" s="17"/>
      <c r="I79" s="17"/>
      <c r="J79" s="132"/>
    </row>
    <row r="80" spans="2:11" ht="15" customHeight="1">
      <c r="B80" s="129"/>
      <c r="C80" s="17"/>
      <c r="D80" s="136">
        <v>1</v>
      </c>
      <c r="E80" s="165" t="s">
        <v>178</v>
      </c>
      <c r="F80" s="154"/>
      <c r="G80" s="30"/>
      <c r="H80" s="17"/>
      <c r="I80" s="17"/>
      <c r="J80" s="132"/>
    </row>
    <row r="81" spans="2:10" ht="15" customHeight="1">
      <c r="B81" s="129"/>
      <c r="C81" s="17"/>
      <c r="D81" s="136">
        <v>2</v>
      </c>
      <c r="E81" s="165" t="s">
        <v>179</v>
      </c>
      <c r="F81" s="154"/>
      <c r="G81" s="30"/>
      <c r="H81" s="17"/>
      <c r="I81" s="17"/>
      <c r="J81" s="132"/>
    </row>
    <row r="82" spans="2:10" ht="15" customHeight="1">
      <c r="B82" s="129"/>
      <c r="C82" s="17"/>
      <c r="D82" s="31"/>
      <c r="E82" s="30"/>
      <c r="F82" s="17"/>
      <c r="G82" s="17"/>
      <c r="H82" s="17"/>
      <c r="I82" s="17"/>
      <c r="J82" s="132"/>
    </row>
    <row r="83" spans="2:10" ht="15" customHeight="1">
      <c r="B83" s="129"/>
      <c r="C83" s="151" t="s">
        <v>400</v>
      </c>
      <c r="D83" s="136">
        <v>1</v>
      </c>
      <c r="E83" s="165" t="s">
        <v>396</v>
      </c>
      <c r="F83" s="154"/>
      <c r="G83" s="30"/>
      <c r="H83" s="17"/>
      <c r="I83" s="17"/>
      <c r="J83" s="132"/>
    </row>
    <row r="84" spans="2:10" ht="15" customHeight="1">
      <c r="B84" s="129"/>
      <c r="C84" s="17"/>
      <c r="D84" s="136">
        <v>2</v>
      </c>
      <c r="E84" s="165" t="s">
        <v>397</v>
      </c>
      <c r="F84" s="154"/>
      <c r="G84" s="30"/>
      <c r="H84" s="17"/>
      <c r="I84" s="17"/>
      <c r="J84" s="132"/>
    </row>
    <row r="85" spans="2:10" ht="15" customHeight="1">
      <c r="B85" s="129"/>
      <c r="C85" s="17"/>
      <c r="D85" s="136">
        <v>3</v>
      </c>
      <c r="E85" s="165" t="s">
        <v>398</v>
      </c>
      <c r="F85" s="154"/>
      <c r="G85" s="30"/>
      <c r="H85" s="17"/>
      <c r="I85" s="17"/>
      <c r="J85" s="132"/>
    </row>
    <row r="86" spans="2:10" ht="15" customHeight="1">
      <c r="B86" s="129"/>
      <c r="C86" s="17"/>
      <c r="D86" s="136">
        <v>4</v>
      </c>
      <c r="E86" s="165" t="s">
        <v>401</v>
      </c>
      <c r="F86" s="154"/>
      <c r="G86" s="30"/>
      <c r="H86" s="17"/>
      <c r="I86" s="17"/>
      <c r="J86" s="132"/>
    </row>
    <row r="87" spans="2:10" ht="15" customHeight="1">
      <c r="B87" s="129"/>
      <c r="C87" s="17"/>
      <c r="D87" s="136">
        <v>5</v>
      </c>
      <c r="E87" s="165" t="s">
        <v>402</v>
      </c>
      <c r="F87" s="154"/>
      <c r="G87" s="30"/>
      <c r="H87" s="17"/>
      <c r="I87" s="17"/>
      <c r="J87" s="132"/>
    </row>
    <row r="88" spans="2:10" ht="15" customHeight="1">
      <c r="B88" s="129"/>
      <c r="C88" s="17"/>
      <c r="D88" s="136">
        <v>6</v>
      </c>
      <c r="E88" s="165" t="s">
        <v>403</v>
      </c>
      <c r="F88" s="154"/>
      <c r="G88" s="30"/>
      <c r="H88" s="17"/>
      <c r="I88" s="17"/>
      <c r="J88" s="132"/>
    </row>
    <row r="89" spans="2:10" ht="15" customHeight="1">
      <c r="B89" s="129"/>
      <c r="C89" s="17"/>
      <c r="D89" s="136">
        <v>7</v>
      </c>
      <c r="E89" s="165" t="s">
        <v>404</v>
      </c>
      <c r="F89" s="154"/>
      <c r="G89" s="30"/>
      <c r="H89" s="17"/>
      <c r="I89" s="17"/>
      <c r="J89" s="132"/>
    </row>
    <row r="90" spans="2:10" ht="15" customHeight="1">
      <c r="B90" s="129"/>
      <c r="C90" s="17"/>
      <c r="D90" s="136">
        <v>8</v>
      </c>
      <c r="E90" s="165" t="s">
        <v>399</v>
      </c>
      <c r="F90" s="154"/>
      <c r="G90" s="30"/>
      <c r="H90" s="17"/>
      <c r="I90" s="17"/>
      <c r="J90" s="132"/>
    </row>
    <row r="91" spans="2:10" ht="15" customHeight="1">
      <c r="B91" s="129"/>
      <c r="C91" s="17"/>
      <c r="D91" s="136">
        <v>9</v>
      </c>
      <c r="E91" s="165" t="s">
        <v>392</v>
      </c>
      <c r="F91" s="154"/>
      <c r="G91" s="30"/>
      <c r="H91" s="17"/>
      <c r="I91" s="17"/>
      <c r="J91" s="132"/>
    </row>
    <row r="92" spans="2:10" ht="15" customHeight="1">
      <c r="B92" s="129"/>
      <c r="C92" s="17"/>
      <c r="D92" s="136">
        <v>10</v>
      </c>
      <c r="E92" s="165" t="s">
        <v>393</v>
      </c>
      <c r="F92" s="154"/>
      <c r="G92" s="30"/>
      <c r="H92" s="17"/>
      <c r="I92" s="17"/>
      <c r="J92" s="132"/>
    </row>
    <row r="93" spans="2:10" ht="15" customHeight="1">
      <c r="B93" s="129"/>
      <c r="C93" s="17"/>
      <c r="D93" s="136">
        <v>11</v>
      </c>
      <c r="E93" s="165" t="s">
        <v>394</v>
      </c>
      <c r="F93" s="154"/>
      <c r="G93" s="30"/>
      <c r="H93" s="17"/>
      <c r="I93" s="17"/>
      <c r="J93" s="132"/>
    </row>
    <row r="94" spans="2:10" ht="15" customHeight="1">
      <c r="B94" s="129"/>
      <c r="C94" s="17"/>
      <c r="D94" s="136">
        <v>12</v>
      </c>
      <c r="E94" s="165" t="s">
        <v>395</v>
      </c>
      <c r="F94" s="154"/>
      <c r="G94" s="30"/>
      <c r="H94" s="17"/>
      <c r="I94" s="17"/>
      <c r="J94" s="132"/>
    </row>
    <row r="95" spans="2:10" ht="20.100000000000001" customHeight="1">
      <c r="B95" s="133"/>
      <c r="C95" s="121"/>
      <c r="D95" s="121"/>
      <c r="E95" s="121"/>
      <c r="F95" s="121"/>
      <c r="G95" s="121"/>
      <c r="H95" s="121"/>
      <c r="I95" s="121"/>
      <c r="J95" s="134"/>
    </row>
    <row r="96" spans="2:10" ht="30" customHeight="1">
      <c r="C96" s="9"/>
      <c r="D96" s="10"/>
      <c r="E96" s="10"/>
      <c r="F96" s="10"/>
      <c r="G96" s="10"/>
      <c r="H96" s="10"/>
      <c r="I96" s="10"/>
      <c r="J96" s="10"/>
    </row>
    <row r="97" spans="4:16">
      <c r="D97" s="14"/>
      <c r="I97" s="2"/>
      <c r="J97" s="2"/>
      <c r="K97" s="2"/>
      <c r="L97" s="2"/>
      <c r="M97" s="2"/>
      <c r="N97" s="2"/>
      <c r="O97" s="2"/>
      <c r="P97" s="2"/>
    </row>
    <row r="98" spans="4:16">
      <c r="I98" s="2"/>
      <c r="J98" s="2"/>
      <c r="K98" s="2"/>
      <c r="L98" s="2"/>
      <c r="M98" s="2"/>
      <c r="N98" s="2"/>
      <c r="O98" s="2"/>
      <c r="P98" s="2"/>
    </row>
    <row r="99" spans="4:16">
      <c r="I99" s="2"/>
      <c r="J99" s="2"/>
      <c r="K99" s="2"/>
      <c r="L99" s="2"/>
      <c r="M99" s="2"/>
      <c r="N99" s="2"/>
      <c r="O99" s="2"/>
      <c r="P99" s="2"/>
    </row>
    <row r="100" spans="4:16">
      <c r="I100" s="2"/>
      <c r="J100" s="2"/>
      <c r="K100" s="2"/>
      <c r="L100" s="2"/>
      <c r="M100" s="2"/>
      <c r="N100" s="2"/>
      <c r="O100" s="2"/>
      <c r="P100" s="2"/>
    </row>
    <row r="101" spans="4:16">
      <c r="H101" s="7"/>
      <c r="I101" s="2"/>
      <c r="J101" s="2"/>
      <c r="K101" s="11"/>
      <c r="L101" s="2"/>
      <c r="M101" s="2"/>
      <c r="N101" s="2"/>
      <c r="O101" s="2"/>
      <c r="P101" s="2"/>
    </row>
    <row r="102" spans="4:16">
      <c r="H102" s="7"/>
      <c r="I102" s="2"/>
      <c r="J102" s="2"/>
      <c r="K102" s="12"/>
      <c r="L102" s="2"/>
      <c r="M102" s="2"/>
      <c r="N102" s="2"/>
      <c r="O102" s="2"/>
      <c r="P102" s="2"/>
    </row>
    <row r="103" spans="4:16">
      <c r="H103" s="7"/>
      <c r="I103" s="2"/>
      <c r="J103" s="2"/>
      <c r="K103" s="12"/>
      <c r="L103" s="2"/>
      <c r="M103" s="2"/>
      <c r="N103" s="2"/>
      <c r="O103" s="2"/>
      <c r="P103" s="2"/>
    </row>
    <row r="104" spans="4:16">
      <c r="H104" s="7"/>
      <c r="I104" s="2"/>
      <c r="J104" s="2"/>
      <c r="K104" s="13"/>
      <c r="L104" s="2"/>
      <c r="M104" s="2"/>
      <c r="N104" s="2"/>
      <c r="O104" s="2"/>
      <c r="P104" s="2"/>
    </row>
    <row r="105" spans="4:16">
      <c r="H105" s="8"/>
      <c r="I105" s="2"/>
      <c r="J105" s="2"/>
      <c r="K105" s="12"/>
      <c r="L105" s="2"/>
      <c r="M105" s="2"/>
      <c r="N105" s="2"/>
      <c r="O105" s="2"/>
      <c r="P105" s="2"/>
    </row>
    <row r="106" spans="4:16">
      <c r="H106" s="8"/>
      <c r="I106" s="2"/>
      <c r="J106" s="2"/>
      <c r="K106" s="12"/>
      <c r="L106" s="2"/>
      <c r="M106" s="2"/>
      <c r="N106" s="2"/>
      <c r="O106" s="2"/>
      <c r="P106" s="2"/>
    </row>
    <row r="107" spans="4:16">
      <c r="H107" s="7"/>
      <c r="I107" s="2"/>
      <c r="J107" s="2"/>
      <c r="K107" s="12"/>
      <c r="L107" s="2"/>
      <c r="M107" s="2"/>
      <c r="N107" s="2"/>
      <c r="O107" s="2"/>
      <c r="P107" s="2"/>
    </row>
    <row r="108" spans="4:16">
      <c r="H108" s="7"/>
      <c r="I108" s="2"/>
      <c r="J108" s="2"/>
      <c r="K108" s="12"/>
      <c r="L108" s="2"/>
      <c r="M108" s="2"/>
      <c r="N108" s="2"/>
      <c r="O108" s="2"/>
      <c r="P108" s="2"/>
    </row>
    <row r="109" spans="4:16">
      <c r="H109" s="7"/>
      <c r="I109" s="2"/>
      <c r="J109" s="2"/>
      <c r="K109" s="12"/>
      <c r="L109" s="2"/>
      <c r="M109" s="2"/>
      <c r="N109" s="2"/>
      <c r="O109" s="2"/>
      <c r="P109" s="2"/>
    </row>
    <row r="110" spans="4:16">
      <c r="H110" s="7"/>
      <c r="I110" s="2"/>
      <c r="J110" s="2"/>
      <c r="K110" s="12"/>
      <c r="L110" s="2"/>
      <c r="M110" s="2"/>
      <c r="N110" s="2"/>
      <c r="O110" s="2"/>
      <c r="P110" s="2"/>
    </row>
    <row r="111" spans="4:16">
      <c r="H111" s="7"/>
      <c r="I111" s="2"/>
      <c r="J111" s="2"/>
      <c r="K111" s="12"/>
      <c r="L111" s="2"/>
      <c r="M111" s="2"/>
      <c r="N111" s="2"/>
      <c r="O111" s="2"/>
      <c r="P111" s="2"/>
    </row>
    <row r="112" spans="4:16">
      <c r="H112" s="7"/>
      <c r="I112" s="2"/>
      <c r="J112" s="2"/>
      <c r="K112" s="11"/>
      <c r="L112" s="2"/>
      <c r="M112" s="2"/>
      <c r="N112" s="2"/>
      <c r="O112" s="2"/>
      <c r="P112" s="2"/>
    </row>
    <row r="113" spans="8:16">
      <c r="H113" s="7"/>
      <c r="I113" s="2"/>
      <c r="J113" s="2"/>
      <c r="K113" s="2"/>
      <c r="L113" s="2"/>
      <c r="M113" s="2"/>
      <c r="N113" s="2"/>
      <c r="O113" s="2"/>
      <c r="P113" s="2"/>
    </row>
    <row r="114" spans="8:16">
      <c r="H114" s="7"/>
      <c r="I114" s="2"/>
      <c r="J114" s="2"/>
      <c r="K114" s="2"/>
      <c r="L114" s="2"/>
      <c r="M114" s="2"/>
      <c r="N114" s="2"/>
      <c r="O114" s="2"/>
      <c r="P114" s="2"/>
    </row>
    <row r="115" spans="8:16">
      <c r="H115" s="7"/>
      <c r="I115" s="2"/>
      <c r="J115" s="2"/>
      <c r="K115" s="2"/>
      <c r="L115" s="2"/>
      <c r="M115" s="2"/>
      <c r="N115" s="2"/>
      <c r="O115" s="2"/>
      <c r="P115" s="2"/>
    </row>
    <row r="116" spans="8:16">
      <c r="H116" s="7"/>
      <c r="I116" s="2"/>
      <c r="J116" s="2"/>
      <c r="K116" s="2"/>
      <c r="L116" s="2"/>
      <c r="M116" s="2"/>
      <c r="N116" s="2"/>
      <c r="O116" s="2"/>
      <c r="P116" s="2"/>
    </row>
    <row r="117" spans="8:16">
      <c r="I117" s="2"/>
      <c r="J117" s="2"/>
      <c r="K117" s="2"/>
      <c r="L117" s="2"/>
      <c r="M117" s="2"/>
      <c r="N117" s="2"/>
      <c r="O117" s="2"/>
      <c r="P117" s="2"/>
    </row>
  </sheetData>
  <sheetProtection password="D9BE" sheet="1" objects="1" scenarios="1"/>
  <mergeCells count="8">
    <mergeCell ref="E16:F16"/>
    <mergeCell ref="E47:G47"/>
    <mergeCell ref="E17:F17"/>
    <mergeCell ref="E18:F18"/>
    <mergeCell ref="E19:F19"/>
    <mergeCell ref="E20:F20"/>
    <mergeCell ref="E21:F21"/>
    <mergeCell ref="E22:F22"/>
  </mergeCells>
  <phoneticPr fontId="8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2:I424"/>
  <sheetViews>
    <sheetView zoomScaleNormal="100" workbookViewId="0">
      <pane ySplit="4" topLeftCell="A134" activePane="bottomLeft" state="frozen"/>
      <selection pane="bottomLeft" activeCell="D152" sqref="D152"/>
    </sheetView>
  </sheetViews>
  <sheetFormatPr defaultRowHeight="13.2"/>
  <cols>
    <col min="3" max="3" width="10.33203125" customWidth="1"/>
    <col min="4" max="4" width="5.33203125" customWidth="1"/>
    <col min="5" max="5" width="4.5546875" customWidth="1"/>
    <col min="6" max="6" width="5" customWidth="1"/>
    <col min="7" max="7" width="71.33203125" customWidth="1"/>
  </cols>
  <sheetData>
    <row r="2" spans="2:9">
      <c r="B2" s="185" t="s">
        <v>245</v>
      </c>
      <c r="C2" s="172" t="str">
        <f>IF(ISERROR(VLOOKUP(B2,Data!$F$3:$H$517,3,FALSE)),"N/A",VLOOKUP(B2,Data!$F$3:$H$517,3,FALSE))</f>
        <v>N/A</v>
      </c>
      <c r="D2" s="187" t="str">
        <f>IF(ISERROR(FIND(".",C2))," ",LEFT(C2,FIND(".",C2)-1))</f>
        <v xml:space="preserve"> </v>
      </c>
      <c r="E2" s="187" t="str">
        <f>IF(ISERROR(FIND(".",C2))," ",LEFT(RIGHT(C2,LEN(C2)-FIND(".",C2)),FIND(".",RIGHT(C2,LEN(C2)-FIND(".",C2)))-1))</f>
        <v xml:space="preserve"> </v>
      </c>
      <c r="F2" s="187" t="str">
        <f>IF(ISERROR(FIND("(",C2))," ",MID(C2,FIND("(",C2)+1,FIND(")",C2)-FIND("(",C2)-1))</f>
        <v xml:space="preserve"> </v>
      </c>
      <c r="G2" s="173" t="str">
        <f>IF(ISERROR(INDEX(Data!$C$3:$F$517,MATCH('Item IDs'!B2,Data!$F$3:$F$517,0),1)),"NOT ASSIGNED",INDEX(Data!$C$3:$F$517,MATCH('Item IDs'!B2,Data!$F$3:$F$517,0),1))</f>
        <v>NOT ASSIGNED</v>
      </c>
      <c r="H2" s="185" t="s">
        <v>246</v>
      </c>
      <c r="I2" s="186">
        <f>MAX(Data!F5:F517)</f>
        <v>1229</v>
      </c>
    </row>
    <row r="3" spans="2:9" ht="15" customHeight="1">
      <c r="B3" s="174"/>
      <c r="C3" s="174"/>
      <c r="D3" s="174"/>
      <c r="E3" s="174"/>
      <c r="F3" s="174"/>
      <c r="G3" s="184"/>
    </row>
    <row r="4" spans="2:9" ht="30" customHeight="1">
      <c r="B4" s="195" t="s">
        <v>219</v>
      </c>
      <c r="C4" s="196" t="s">
        <v>247</v>
      </c>
      <c r="D4" s="196" t="s">
        <v>248</v>
      </c>
      <c r="E4" s="196" t="s">
        <v>249</v>
      </c>
      <c r="F4" s="196" t="s">
        <v>250</v>
      </c>
      <c r="G4" s="197" t="s">
        <v>244</v>
      </c>
      <c r="H4" s="197" t="s">
        <v>465</v>
      </c>
    </row>
    <row r="5" spans="2:9">
      <c r="B5" s="175">
        <v>1001</v>
      </c>
      <c r="C5" s="176" t="str">
        <f>IF(ISERROR(VLOOKUP(B5,Data!$F$3:$H$517,3,FALSE)),"N/A",VLOOKUP(B5,Data!$F$3:$H$517,3,FALSE))</f>
        <v>1.a.(1)</v>
      </c>
      <c r="D5" s="193" t="str">
        <f t="shared" ref="D5:D68" si="0">IF(ISERROR(FIND(".",C5))," ",LEFT(C5,FIND(".",C5)-1))</f>
        <v>1</v>
      </c>
      <c r="E5" s="188" t="str">
        <f t="shared" ref="E5:E68" si="1">IF(ISERROR(FIND(".",C5))," ",LEFT(RIGHT(C5,LEN(C5)-FIND(".",C5)),FIND(".",RIGHT(C5,LEN(C5)-FIND(".",C5)))-1))</f>
        <v>a</v>
      </c>
      <c r="F5" s="193" t="str">
        <f t="shared" ref="F5:F68" si="2">IF(ISERROR(FIND("(",C5))," ",MID(C5,FIND("(",C5)+1,FIND(")",C5)-FIND("(",C5)-1))</f>
        <v>1</v>
      </c>
      <c r="G5" s="177" t="str">
        <f>IF(ISERROR(INDEX(Data!$C$3:$F$517,MATCH('Item IDs'!B5,Data!$F$3:$F$517,0),1)),"NOT ASSIGNED",INDEX(Data!$C$3:$F$517,MATCH('Item IDs'!B5,Data!$F$3:$F$517,0),1))</f>
        <v>(1) Country code</v>
      </c>
      <c r="H5" s="177"/>
    </row>
    <row r="6" spans="2:9">
      <c r="B6" s="178">
        <v>1002</v>
      </c>
      <c r="C6" s="179" t="str">
        <f>IF(ISERROR(VLOOKUP(B6,Data!$F$3:$H$517,3,FALSE)),"N/A",VLOOKUP(B6,Data!$F$3:$H$517,3,FALSE))</f>
        <v>1.a.(2)</v>
      </c>
      <c r="D6" s="194" t="str">
        <f t="shared" si="0"/>
        <v>1</v>
      </c>
      <c r="E6" s="189" t="str">
        <f t="shared" si="1"/>
        <v>a</v>
      </c>
      <c r="F6" s="194" t="str">
        <f t="shared" si="2"/>
        <v>2</v>
      </c>
      <c r="G6" s="180" t="str">
        <f>IF(ISERROR(INDEX(Data!$C$3:$F$517,MATCH('Item IDs'!B6,Data!$F$3:$F$517,0),1)),"NOT ASSIGNED",INDEX(Data!$C$3:$F$517,MATCH('Item IDs'!B6,Data!$F$3:$F$517,0),1))</f>
        <v>(2) Bank name</v>
      </c>
      <c r="H6" s="180"/>
    </row>
    <row r="7" spans="2:9">
      <c r="B7" s="178">
        <v>1003</v>
      </c>
      <c r="C7" s="179" t="str">
        <f>IF(ISERROR(VLOOKUP(B7,Data!$F$3:$H$517,3,FALSE)),"N/A",VLOOKUP(B7,Data!$F$3:$H$517,3,FALSE))</f>
        <v>1.a.(3)</v>
      </c>
      <c r="D7" s="194" t="str">
        <f t="shared" si="0"/>
        <v>1</v>
      </c>
      <c r="E7" s="189" t="str">
        <f t="shared" si="1"/>
        <v>a</v>
      </c>
      <c r="F7" s="194" t="str">
        <f t="shared" si="2"/>
        <v>3</v>
      </c>
      <c r="G7" s="180" t="str">
        <f>IF(ISERROR(INDEX(Data!$C$3:$F$517,MATCH('Item IDs'!B7,Data!$F$3:$F$517,0),1)),"NOT ASSIGNED",INDEX(Data!$C$3:$F$517,MATCH('Item IDs'!B7,Data!$F$3:$F$517,0),1))</f>
        <v>(3) Reporting date (yyyy-mm-dd)</v>
      </c>
      <c r="H7" s="180"/>
    </row>
    <row r="8" spans="2:9">
      <c r="B8" s="178">
        <v>1004</v>
      </c>
      <c r="C8" s="179" t="str">
        <f>IF(ISERROR(VLOOKUP(B8,Data!$F$3:$H$517,3,FALSE)),"N/A",VLOOKUP(B8,Data!$F$3:$H$517,3,FALSE))</f>
        <v>1.a.(4)</v>
      </c>
      <c r="D8" s="194" t="str">
        <f t="shared" si="0"/>
        <v>1</v>
      </c>
      <c r="E8" s="189" t="str">
        <f t="shared" si="1"/>
        <v>a</v>
      </c>
      <c r="F8" s="194" t="str">
        <f t="shared" si="2"/>
        <v>4</v>
      </c>
      <c r="G8" s="180" t="str">
        <f>IF(ISERROR(INDEX(Data!$C$3:$F$517,MATCH('Item IDs'!B8,Data!$F$3:$F$517,0),1)),"NOT ASSIGNED",INDEX(Data!$C$3:$F$517,MATCH('Item IDs'!B8,Data!$F$3:$F$517,0),1))</f>
        <v>(4) Reporting currency</v>
      </c>
      <c r="H8" s="180"/>
    </row>
    <row r="9" spans="2:9">
      <c r="B9" s="178">
        <v>1005</v>
      </c>
      <c r="C9" s="179" t="str">
        <f>IF(ISERROR(VLOOKUP(B9,Data!$F$3:$H$517,3,FALSE)),"N/A",VLOOKUP(B9,Data!$F$3:$H$517,3,FALSE))</f>
        <v>1.a.(5)</v>
      </c>
      <c r="D9" s="194" t="str">
        <f t="shared" si="0"/>
        <v>1</v>
      </c>
      <c r="E9" s="189" t="str">
        <f t="shared" si="1"/>
        <v>a</v>
      </c>
      <c r="F9" s="194" t="str">
        <f t="shared" si="2"/>
        <v>5</v>
      </c>
      <c r="G9" s="180" t="str">
        <f>IF(ISERROR(INDEX(Data!$C$3:$F$517,MATCH('Item IDs'!B9,Data!$F$3:$F$517,0),1)),"NOT ASSIGNED",INDEX(Data!$C$3:$F$517,MATCH('Item IDs'!B9,Data!$F$3:$F$517,0),1))</f>
        <v>(5) Euro conversion rate</v>
      </c>
      <c r="H9" s="180"/>
    </row>
    <row r="10" spans="2:9">
      <c r="B10" s="178">
        <v>1006</v>
      </c>
      <c r="C10" s="179" t="str">
        <f>IF(ISERROR(VLOOKUP(B10,Data!$F$3:$H$517,3,FALSE)),"N/A",VLOOKUP(B10,Data!$F$3:$H$517,3,FALSE))</f>
        <v>1.a.(6)</v>
      </c>
      <c r="D10" s="194" t="str">
        <f t="shared" si="0"/>
        <v>1</v>
      </c>
      <c r="E10" s="189" t="str">
        <f t="shared" si="1"/>
        <v>a</v>
      </c>
      <c r="F10" s="194" t="str">
        <f t="shared" si="2"/>
        <v>6</v>
      </c>
      <c r="G10" s="180" t="str">
        <f>IF(ISERROR(INDEX(Data!$C$3:$F$517,MATCH('Item IDs'!B10,Data!$F$3:$F$517,0),1)),"NOT ASSIGNED",INDEX(Data!$C$3:$F$517,MATCH('Item IDs'!B10,Data!$F$3:$F$517,0),1))</f>
        <v>(6) Submission date (yyyy-mm-dd)</v>
      </c>
      <c r="H10" s="180"/>
    </row>
    <row r="11" spans="2:9">
      <c r="B11" s="178">
        <v>1007</v>
      </c>
      <c r="C11" s="179" t="str">
        <f>IF(ISERROR(VLOOKUP(B11,Data!$F$3:$H$517,3,FALSE)),"N/A",VLOOKUP(B11,Data!$F$3:$H$517,3,FALSE))</f>
        <v>1.b.(1)</v>
      </c>
      <c r="D11" s="194" t="str">
        <f t="shared" si="0"/>
        <v>1</v>
      </c>
      <c r="E11" s="189" t="str">
        <f t="shared" si="1"/>
        <v>b</v>
      </c>
      <c r="F11" s="194" t="str">
        <f t="shared" si="2"/>
        <v>1</v>
      </c>
      <c r="G11" s="180" t="str">
        <f>IF(ISERROR(INDEX(Data!$C$3:$F$517,MATCH('Item IDs'!B11,Data!$F$3:$F$517,0),1)),"NOT ASSIGNED",INDEX(Data!$C$3:$F$517,MATCH('Item IDs'!B11,Data!$F$3:$F$517,0),1))</f>
        <v>(1) Reporting unit</v>
      </c>
      <c r="H11" s="180"/>
    </row>
    <row r="12" spans="2:9">
      <c r="B12" s="178">
        <v>1008</v>
      </c>
      <c r="C12" s="179" t="str">
        <f>IF(ISERROR(VLOOKUP(B12,Data!$F$3:$H$517,3,FALSE)),"N/A",VLOOKUP(B12,Data!$F$3:$H$517,3,FALSE))</f>
        <v>1.b.(2)</v>
      </c>
      <c r="D12" s="194" t="str">
        <f t="shared" si="0"/>
        <v>1</v>
      </c>
      <c r="E12" s="189" t="str">
        <f t="shared" si="1"/>
        <v>b</v>
      </c>
      <c r="F12" s="194" t="str">
        <f t="shared" si="2"/>
        <v>2</v>
      </c>
      <c r="G12" s="180" t="str">
        <f>IF(ISERROR(INDEX(Data!$C$3:$F$517,MATCH('Item IDs'!B12,Data!$F$3:$F$517,0),1)),"NOT ASSIGNED",INDEX(Data!$C$3:$F$517,MATCH('Item IDs'!B12,Data!$F$3:$F$517,0),1))</f>
        <v>(2) Accounting standard</v>
      </c>
      <c r="H12" s="180"/>
    </row>
    <row r="13" spans="2:9">
      <c r="B13" s="178">
        <v>1009</v>
      </c>
      <c r="C13" s="179" t="str">
        <f>IF(ISERROR(VLOOKUP(B13,Data!$F$3:$H$517,3,FALSE)),"N/A",VLOOKUP(B13,Data!$F$3:$H$517,3,FALSE))</f>
        <v>1.b.(3)</v>
      </c>
      <c r="D13" s="194" t="str">
        <f t="shared" si="0"/>
        <v>1</v>
      </c>
      <c r="E13" s="189" t="str">
        <f t="shared" si="1"/>
        <v>b</v>
      </c>
      <c r="F13" s="194" t="str">
        <f t="shared" si="2"/>
        <v>3</v>
      </c>
      <c r="G13" s="180" t="str">
        <f>IF(ISERROR(INDEX(Data!$C$3:$F$517,MATCH('Item IDs'!B13,Data!$F$3:$F$517,0),1)),"NOT ASSIGNED",INDEX(Data!$C$3:$F$517,MATCH('Item IDs'!B13,Data!$F$3:$F$517,0),1))</f>
        <v>(3) Date of public disclosure (yyyy-mm-dd)</v>
      </c>
      <c r="H13" s="180"/>
    </row>
    <row r="14" spans="2:9">
      <c r="B14" s="178">
        <v>1010</v>
      </c>
      <c r="C14" s="179" t="str">
        <f>IF(ISERROR(VLOOKUP(B14,Data!$F$3:$H$517,3,FALSE)),"N/A",VLOOKUP(B14,Data!$F$3:$H$517,3,FALSE))</f>
        <v>1.b.(4)</v>
      </c>
      <c r="D14" s="194" t="str">
        <f t="shared" si="0"/>
        <v>1</v>
      </c>
      <c r="E14" s="189" t="str">
        <f t="shared" si="1"/>
        <v>b</v>
      </c>
      <c r="F14" s="189" t="str">
        <f t="shared" si="2"/>
        <v>4</v>
      </c>
      <c r="G14" s="180" t="str">
        <f>IF(ISERROR(INDEX(Data!$C$3:$F$517,MATCH('Item IDs'!B14,Data!$F$3:$F$517,0),1)),"NOT ASSIGNED",INDEX(Data!$C$3:$F$517,MATCH('Item IDs'!B14,Data!$F$3:$F$517,0),1))</f>
        <v>(4) Language of public disclosure</v>
      </c>
      <c r="H14" s="180"/>
    </row>
    <row r="15" spans="2:9">
      <c r="B15" s="178">
        <v>1011</v>
      </c>
      <c r="C15" s="179" t="str">
        <f>IF(ISERROR(VLOOKUP(B15,Data!$F$3:$H$517,3,FALSE)),"N/A",VLOOKUP(B15,Data!$F$3:$H$517,3,FALSE))</f>
        <v>1.b.(5)</v>
      </c>
      <c r="D15" s="194" t="str">
        <f t="shared" si="0"/>
        <v>1</v>
      </c>
      <c r="E15" s="189" t="str">
        <f t="shared" si="1"/>
        <v>b</v>
      </c>
      <c r="F15" s="189" t="str">
        <f t="shared" si="2"/>
        <v>5</v>
      </c>
      <c r="G15" s="180" t="str">
        <f>IF(ISERROR(INDEX(Data!$C$3:$F$517,MATCH('Item IDs'!B15,Data!$F$3:$F$517,0),1)),"NOT ASSIGNED",INDEX(Data!$C$3:$F$517,MATCH('Item IDs'!B15,Data!$F$3:$F$517,0),1))</f>
        <v>(5) Web address of public disclosure</v>
      </c>
      <c r="H15" s="180"/>
    </row>
    <row r="16" spans="2:9">
      <c r="B16" s="178">
        <v>1012</v>
      </c>
      <c r="C16" s="179" t="str">
        <f>IF(ISERROR(VLOOKUP(B16,Data!$F$3:$H$517,3,FALSE)),"N/A",VLOOKUP(B16,Data!$F$3:$H$517,3,FALSE))</f>
        <v>2.a.(1)</v>
      </c>
      <c r="D16" s="194" t="str">
        <f t="shared" si="0"/>
        <v>2</v>
      </c>
      <c r="E16" s="189" t="str">
        <f t="shared" si="1"/>
        <v>a</v>
      </c>
      <c r="F16" s="189" t="str">
        <f t="shared" si="2"/>
        <v>1</v>
      </c>
      <c r="G16" s="180" t="str">
        <f>IF(ISERROR(INDEX(Data!$C$3:$F$517,MATCH('Item IDs'!B16,Data!$F$3:$F$517,0),1)),"NOT ASSIGNED",INDEX(Data!$C$3:$F$517,MATCH('Item IDs'!B16,Data!$F$3:$F$517,0),1))</f>
        <v>(1) Counterparty exposure of derivatives contracts</v>
      </c>
      <c r="H16" s="180"/>
    </row>
    <row r="17" spans="2:8">
      <c r="B17" s="178">
        <v>1013</v>
      </c>
      <c r="C17" s="179" t="str">
        <f>IF(ISERROR(VLOOKUP(B17,Data!$F$3:$H$517,3,FALSE)),"N/A",VLOOKUP(B17,Data!$F$3:$H$517,3,FALSE))</f>
        <v>2.b.(1)</v>
      </c>
      <c r="D17" s="194" t="str">
        <f t="shared" si="0"/>
        <v>2</v>
      </c>
      <c r="E17" s="189" t="str">
        <f t="shared" si="1"/>
        <v>b</v>
      </c>
      <c r="F17" s="189" t="str">
        <f t="shared" si="2"/>
        <v>1</v>
      </c>
      <c r="G17" s="180" t="str">
        <f>IF(ISERROR(INDEX(Data!$C$3:$F$517,MATCH('Item IDs'!B17,Data!$F$3:$F$517,0),1)),"NOT ASSIGNED",INDEX(Data!$C$3:$F$517,MATCH('Item IDs'!B17,Data!$F$3:$F$517,0),1))</f>
        <v>(1) Adjusted gross value of SFTs</v>
      </c>
      <c r="H17" s="180"/>
    </row>
    <row r="18" spans="2:8">
      <c r="B18" s="178">
        <v>1014</v>
      </c>
      <c r="C18" s="179" t="str">
        <f>IF(ISERROR(VLOOKUP(B18,Data!$F$3:$H$517,3,FALSE)),"N/A",VLOOKUP(B18,Data!$F$3:$H$517,3,FALSE))</f>
        <v>2.b.(2)</v>
      </c>
      <c r="D18" s="194" t="str">
        <f t="shared" si="0"/>
        <v>2</v>
      </c>
      <c r="E18" s="189" t="str">
        <f t="shared" si="1"/>
        <v>b</v>
      </c>
      <c r="F18" s="194" t="str">
        <f t="shared" si="2"/>
        <v>2</v>
      </c>
      <c r="G18" s="180" t="str">
        <f>IF(ISERROR(INDEX(Data!$C$3:$F$517,MATCH('Item IDs'!B18,Data!$F$3:$F$517,0),1)),"NOT ASSIGNED",INDEX(Data!$C$3:$F$517,MATCH('Item IDs'!B18,Data!$F$3:$F$517,0),1))</f>
        <v>(2) Counterparty exposure of SFTs</v>
      </c>
      <c r="H18" s="180"/>
    </row>
    <row r="19" spans="2:8">
      <c r="B19" s="178">
        <v>1015</v>
      </c>
      <c r="C19" s="179" t="str">
        <f>IF(ISERROR(VLOOKUP(B19,Data!$F$3:$H$517,3,FALSE)),"N/A",VLOOKUP(B19,Data!$F$3:$H$517,3,FALSE))</f>
        <v>2.c.</v>
      </c>
      <c r="D19" s="194" t="str">
        <f t="shared" si="0"/>
        <v>2</v>
      </c>
      <c r="E19" s="189" t="str">
        <f t="shared" si="1"/>
        <v>c</v>
      </c>
      <c r="F19" s="189" t="str">
        <f t="shared" si="2"/>
        <v xml:space="preserve"> </v>
      </c>
      <c r="G19" s="180" t="str">
        <f>IF(ISERROR(INDEX(Data!$C$3:$F$517,MATCH('Item IDs'!B19,Data!$F$3:$F$517,0),1)),"NOT ASSIGNED",INDEX(Data!$C$3:$F$517,MATCH('Item IDs'!B19,Data!$F$3:$F$517,0),1))</f>
        <v>c. Other assets</v>
      </c>
      <c r="H19" s="180"/>
    </row>
    <row r="20" spans="2:8">
      <c r="B20" s="246">
        <v>1016</v>
      </c>
      <c r="C20" s="247" t="s">
        <v>110</v>
      </c>
      <c r="D20" s="248" t="s">
        <v>459</v>
      </c>
      <c r="E20" s="249" t="s">
        <v>466</v>
      </c>
      <c r="F20" s="249" t="s">
        <v>461</v>
      </c>
      <c r="G20" s="250" t="s">
        <v>60</v>
      </c>
      <c r="H20" s="250">
        <v>2014</v>
      </c>
    </row>
    <row r="21" spans="2:8">
      <c r="B21" s="246">
        <v>1017</v>
      </c>
      <c r="C21" s="247" t="s">
        <v>70</v>
      </c>
      <c r="D21" s="248" t="s">
        <v>459</v>
      </c>
      <c r="E21" s="249" t="s">
        <v>467</v>
      </c>
      <c r="F21" s="249" t="s">
        <v>464</v>
      </c>
      <c r="G21" s="250" t="s">
        <v>238</v>
      </c>
      <c r="H21" s="250">
        <v>2014</v>
      </c>
    </row>
    <row r="22" spans="2:8">
      <c r="B22" s="178">
        <v>1018</v>
      </c>
      <c r="C22" s="179" t="str">
        <f>IF(ISERROR(VLOOKUP(B22,Data!$F$3:$H$517,3,FALSE)),"N/A",VLOOKUP(B22,Data!$F$3:$H$517,3,FALSE))</f>
        <v>2.a.(3)</v>
      </c>
      <c r="D22" s="194" t="str">
        <f t="shared" si="0"/>
        <v>2</v>
      </c>
      <c r="E22" s="189" t="str">
        <f t="shared" si="1"/>
        <v>a</v>
      </c>
      <c r="F22" s="194" t="str">
        <f t="shared" si="2"/>
        <v>3</v>
      </c>
      <c r="G22" s="180" t="str">
        <f>IF(ISERROR(INDEX(Data!$C$3:$F$517,MATCH('Item IDs'!B22,Data!$F$3:$F$517,0),1)),"NOT ASSIGNED",INDEX(Data!$C$3:$F$517,MATCH('Item IDs'!B22,Data!$F$3:$F$517,0),1))</f>
        <v>(3) Potential future exposure of derivative contracts</v>
      </c>
      <c r="H22" s="180"/>
    </row>
    <row r="23" spans="2:8">
      <c r="B23" s="178">
        <v>1019</v>
      </c>
      <c r="C23" s="179" t="str">
        <f>IF(ISERROR(VLOOKUP(B23,Data!$F$3:$H$517,3,FALSE)),"N/A",VLOOKUP(B23,Data!$F$3:$H$517,3,FALSE))</f>
        <v>2.d.(1)</v>
      </c>
      <c r="D23" s="194" t="str">
        <f t="shared" si="0"/>
        <v>2</v>
      </c>
      <c r="E23" s="189" t="str">
        <f t="shared" si="1"/>
        <v>d</v>
      </c>
      <c r="F23" s="194" t="str">
        <f t="shared" si="2"/>
        <v>1</v>
      </c>
      <c r="G23" s="180" t="str">
        <f>IF(ISERROR(INDEX(Data!$C$3:$F$517,MATCH('Item IDs'!B23,Data!$F$3:$F$517,0),1)),"NOT ASSIGNED",INDEX(Data!$C$3:$F$517,MATCH('Item IDs'!B23,Data!$F$3:$F$517,0),1))</f>
        <v>(1) Items subject to a 0% credit conversion factor (CCF)</v>
      </c>
      <c r="H23" s="180"/>
    </row>
    <row r="24" spans="2:8">
      <c r="B24" s="246">
        <v>1020</v>
      </c>
      <c r="C24" s="247" t="s">
        <v>111</v>
      </c>
      <c r="D24" s="248" t="s">
        <v>459</v>
      </c>
      <c r="E24" s="249" t="s">
        <v>460</v>
      </c>
      <c r="F24" s="249" t="s">
        <v>461</v>
      </c>
      <c r="G24" s="250" t="s">
        <v>61</v>
      </c>
      <c r="H24" s="250">
        <v>2014</v>
      </c>
    </row>
    <row r="25" spans="2:8">
      <c r="B25" s="246">
        <v>1021</v>
      </c>
      <c r="C25" s="247" t="s">
        <v>112</v>
      </c>
      <c r="D25" s="248" t="s">
        <v>459</v>
      </c>
      <c r="E25" s="249" t="s">
        <v>460</v>
      </c>
      <c r="F25" s="249" t="s">
        <v>459</v>
      </c>
      <c r="G25" s="250" t="s">
        <v>62</v>
      </c>
      <c r="H25" s="250">
        <v>2014</v>
      </c>
    </row>
    <row r="26" spans="2:8">
      <c r="B26" s="178">
        <v>1022</v>
      </c>
      <c r="C26" s="179" t="str">
        <f>IF(ISERROR(VLOOKUP(B26,Data!$F$3:$H$517,3,FALSE)),"N/A",VLOOKUP(B26,Data!$F$3:$H$517,3,FALSE))</f>
        <v>2.d.(2)</v>
      </c>
      <c r="D26" s="194" t="str">
        <f t="shared" si="0"/>
        <v>2</v>
      </c>
      <c r="E26" s="189" t="str">
        <f t="shared" si="1"/>
        <v>d</v>
      </c>
      <c r="F26" s="189" t="str">
        <f t="shared" si="2"/>
        <v>2</v>
      </c>
      <c r="G26" s="180" t="str">
        <f>IF(ISERROR(INDEX(Data!$C$3:$F$517,MATCH('Item IDs'!B26,Data!$F$3:$F$517,0),1)),"NOT ASSIGNED",INDEX(Data!$C$3:$F$517,MATCH('Item IDs'!B26,Data!$F$3:$F$517,0),1))</f>
        <v>(2) Items subject to a 20% CCF</v>
      </c>
      <c r="H26" s="180"/>
    </row>
    <row r="27" spans="2:8">
      <c r="B27" s="178">
        <v>1023</v>
      </c>
      <c r="C27" s="179" t="str">
        <f>IF(ISERROR(VLOOKUP(B27,Data!$F$3:$H$517,3,FALSE)),"N/A",VLOOKUP(B27,Data!$F$3:$H$517,3,FALSE))</f>
        <v>2.d.(3)</v>
      </c>
      <c r="D27" s="194" t="str">
        <f t="shared" si="0"/>
        <v>2</v>
      </c>
      <c r="E27" s="189" t="str">
        <f t="shared" si="1"/>
        <v>d</v>
      </c>
      <c r="F27" s="189" t="str">
        <f t="shared" si="2"/>
        <v>3</v>
      </c>
      <c r="G27" s="180" t="str">
        <f>IF(ISERROR(INDEX(Data!$C$3:$F$517,MATCH('Item IDs'!B27,Data!$F$3:$F$517,0),1)),"NOT ASSIGNED",INDEX(Data!$C$3:$F$517,MATCH('Item IDs'!B27,Data!$F$3:$F$517,0),1))</f>
        <v>(3) Items subject to a 50% CCF</v>
      </c>
      <c r="H27" s="180"/>
    </row>
    <row r="28" spans="2:8">
      <c r="B28" s="178">
        <v>1024</v>
      </c>
      <c r="C28" s="179" t="str">
        <f>IF(ISERROR(VLOOKUP(B28,Data!$F$3:$H$517,3,FALSE)),"N/A",VLOOKUP(B28,Data!$F$3:$H$517,3,FALSE))</f>
        <v>2.d.(4)</v>
      </c>
      <c r="D28" s="194" t="str">
        <f t="shared" si="0"/>
        <v>2</v>
      </c>
      <c r="E28" s="189" t="str">
        <f t="shared" si="1"/>
        <v>d</v>
      </c>
      <c r="F28" s="194" t="str">
        <f t="shared" si="2"/>
        <v>4</v>
      </c>
      <c r="G28" s="180" t="str">
        <f>IF(ISERROR(INDEX(Data!$C$3:$F$517,MATCH('Item IDs'!B28,Data!$F$3:$F$517,0),1)),"NOT ASSIGNED",INDEX(Data!$C$3:$F$517,MATCH('Item IDs'!B28,Data!$F$3:$F$517,0),1))</f>
        <v>(4) Items subject to a 100% CCF</v>
      </c>
      <c r="H28" s="180"/>
    </row>
    <row r="29" spans="2:8">
      <c r="B29" s="246">
        <v>1025</v>
      </c>
      <c r="C29" s="247" t="s">
        <v>113</v>
      </c>
      <c r="D29" s="248" t="s">
        <v>459</v>
      </c>
      <c r="E29" s="249" t="s">
        <v>468</v>
      </c>
      <c r="F29" s="248" t="s">
        <v>464</v>
      </c>
      <c r="G29" s="250" t="s">
        <v>633</v>
      </c>
      <c r="H29" s="250">
        <v>2014</v>
      </c>
    </row>
    <row r="30" spans="2:8">
      <c r="B30" s="246">
        <v>1026</v>
      </c>
      <c r="C30" s="247" t="s">
        <v>114</v>
      </c>
      <c r="D30" s="248" t="s">
        <v>459</v>
      </c>
      <c r="E30" s="249" t="s">
        <v>469</v>
      </c>
      <c r="F30" s="248" t="s">
        <v>461</v>
      </c>
      <c r="G30" s="250" t="s">
        <v>239</v>
      </c>
      <c r="H30" s="250">
        <v>2014</v>
      </c>
    </row>
    <row r="31" spans="2:8">
      <c r="B31" s="246">
        <v>1027</v>
      </c>
      <c r="C31" s="247" t="s">
        <v>115</v>
      </c>
      <c r="D31" s="248" t="s">
        <v>459</v>
      </c>
      <c r="E31" s="249" t="s">
        <v>469</v>
      </c>
      <c r="F31" s="248" t="s">
        <v>459</v>
      </c>
      <c r="G31" s="250" t="s">
        <v>90</v>
      </c>
      <c r="H31" s="250">
        <v>2014</v>
      </c>
    </row>
    <row r="32" spans="2:8">
      <c r="B32" s="246">
        <v>1028</v>
      </c>
      <c r="C32" s="247" t="s">
        <v>116</v>
      </c>
      <c r="D32" s="248" t="s">
        <v>459</v>
      </c>
      <c r="E32" s="249" t="s">
        <v>469</v>
      </c>
      <c r="F32" s="248" t="s">
        <v>470</v>
      </c>
      <c r="G32" s="250" t="s">
        <v>91</v>
      </c>
      <c r="H32" s="250">
        <v>2014</v>
      </c>
    </row>
    <row r="33" spans="2:8">
      <c r="B33" s="246">
        <v>1029</v>
      </c>
      <c r="C33" s="247" t="s">
        <v>117</v>
      </c>
      <c r="D33" s="248" t="s">
        <v>459</v>
      </c>
      <c r="E33" s="249" t="s">
        <v>469</v>
      </c>
      <c r="F33" s="249" t="s">
        <v>471</v>
      </c>
      <c r="G33" s="250" t="s">
        <v>240</v>
      </c>
      <c r="H33" s="250">
        <v>2014</v>
      </c>
    </row>
    <row r="34" spans="2:8">
      <c r="B34" s="246">
        <v>1030</v>
      </c>
      <c r="C34" s="247" t="s">
        <v>118</v>
      </c>
      <c r="D34" s="248" t="s">
        <v>459</v>
      </c>
      <c r="E34" s="249" t="s">
        <v>469</v>
      </c>
      <c r="F34" s="248" t="s">
        <v>472</v>
      </c>
      <c r="G34" s="250" t="s">
        <v>92</v>
      </c>
      <c r="H34" s="250">
        <v>2014</v>
      </c>
    </row>
    <row r="35" spans="2:8" ht="12.75" customHeight="1">
      <c r="B35" s="178">
        <v>1031</v>
      </c>
      <c r="C35" s="179" t="str">
        <f>IF(ISERROR(VLOOKUP(B35,Data!$F$3:$H$517,3,FALSE)),"N/A",VLOOKUP(B35,Data!$F$3:$H$517,3,FALSE))</f>
        <v>2.e.</v>
      </c>
      <c r="D35" s="194" t="str">
        <f t="shared" si="0"/>
        <v>2</v>
      </c>
      <c r="E35" s="189" t="str">
        <f t="shared" si="1"/>
        <v>e</v>
      </c>
      <c r="F35" s="189" t="str">
        <f t="shared" si="2"/>
        <v xml:space="preserve"> </v>
      </c>
      <c r="G35" s="180" t="str">
        <f>IF(ISERROR(INDEX(Data!$C$3:$F$517,MATCH('Item IDs'!B35,Data!$F$3:$F$517,0),1)),"NOT ASSIGNED",INDEX(Data!$C$3:$F$517,MATCH('Item IDs'!B35,Data!$F$3:$F$517,0),1))</f>
        <v>e. Regulatory adjustments</v>
      </c>
      <c r="H35" s="180"/>
    </row>
    <row r="36" spans="2:8">
      <c r="B36" s="246">
        <v>1032</v>
      </c>
      <c r="C36" s="247" t="s">
        <v>473</v>
      </c>
      <c r="D36" s="248" t="s">
        <v>459</v>
      </c>
      <c r="E36" s="249" t="s">
        <v>474</v>
      </c>
      <c r="F36" s="249" t="s">
        <v>464</v>
      </c>
      <c r="G36" s="250" t="s">
        <v>634</v>
      </c>
      <c r="H36" s="250">
        <v>2014</v>
      </c>
    </row>
    <row r="37" spans="2:8">
      <c r="B37" s="178">
        <v>1033</v>
      </c>
      <c r="C37" s="179" t="str">
        <f>IF(ISERROR(VLOOKUP(B37,Data!$F$3:$H$517,3,FALSE)),"N/A",VLOOKUP(B37,Data!$F$3:$H$517,3,FALSE))</f>
        <v>3.a.</v>
      </c>
      <c r="D37" s="194" t="str">
        <f t="shared" si="0"/>
        <v>3</v>
      </c>
      <c r="E37" s="189" t="str">
        <f t="shared" si="1"/>
        <v>a</v>
      </c>
      <c r="F37" s="194" t="str">
        <f t="shared" si="2"/>
        <v xml:space="preserve"> </v>
      </c>
      <c r="G37" s="180" t="str">
        <f>IF(ISERROR(INDEX(Data!$C$3:$F$517,MATCH('Item IDs'!B37,Data!$F$3:$F$517,0),1)),"NOT ASSIGNED",INDEX(Data!$C$3:$F$517,MATCH('Item IDs'!B37,Data!$F$3:$F$517,0),1))</f>
        <v>a. Funds deposited with or lent to other financial institutions</v>
      </c>
      <c r="H37" s="180"/>
    </row>
    <row r="38" spans="2:8">
      <c r="B38" s="178">
        <v>1034</v>
      </c>
      <c r="C38" s="179" t="str">
        <f>IF(ISERROR(VLOOKUP(B38,Data!$F$3:$H$517,3,FALSE)),"N/A",VLOOKUP(B38,Data!$F$3:$H$517,3,FALSE))</f>
        <v>3.a.(1)</v>
      </c>
      <c r="D38" s="194" t="str">
        <f t="shared" si="0"/>
        <v>3</v>
      </c>
      <c r="E38" s="189" t="str">
        <f t="shared" si="1"/>
        <v>a</v>
      </c>
      <c r="F38" s="189" t="str">
        <f t="shared" si="2"/>
        <v>1</v>
      </c>
      <c r="G38" s="180" t="str">
        <f>IF(ISERROR(INDEX(Data!$C$3:$F$517,MATCH('Item IDs'!B38,Data!$F$3:$F$517,0),1)),"NOT ASSIGNED",INDEX(Data!$C$3:$F$517,MATCH('Item IDs'!B38,Data!$F$3:$F$517,0),1))</f>
        <v xml:space="preserve">(1) Certificates of deposit </v>
      </c>
      <c r="H38" s="180"/>
    </row>
    <row r="39" spans="2:8">
      <c r="B39" s="178">
        <v>1035</v>
      </c>
      <c r="C39" s="179" t="str">
        <f>IF(ISERROR(VLOOKUP(B39,Data!$F$3:$H$517,3,FALSE)),"N/A",VLOOKUP(B39,Data!$F$3:$H$517,3,FALSE))</f>
        <v>3.b.</v>
      </c>
      <c r="D39" s="194" t="str">
        <f t="shared" si="0"/>
        <v>3</v>
      </c>
      <c r="E39" s="189" t="str">
        <f t="shared" si="1"/>
        <v>b</v>
      </c>
      <c r="F39" s="194" t="str">
        <f t="shared" si="2"/>
        <v xml:space="preserve"> </v>
      </c>
      <c r="G39" s="180" t="str">
        <f>IF(ISERROR(INDEX(Data!$C$3:$F$517,MATCH('Item IDs'!B39,Data!$F$3:$F$517,0),1)),"NOT ASSIGNED",INDEX(Data!$C$3:$F$517,MATCH('Item IDs'!B39,Data!$F$3:$F$517,0),1))</f>
        <v>b. Unused portion of committed lines extended to other financial institutions</v>
      </c>
      <c r="H39" s="180"/>
    </row>
    <row r="40" spans="2:8">
      <c r="B40" s="178">
        <v>1036</v>
      </c>
      <c r="C40" s="179" t="str">
        <f>IF(ISERROR(VLOOKUP(B40,Data!$F$3:$H$517,3,FALSE)),"N/A",VLOOKUP(B40,Data!$F$3:$H$517,3,FALSE))</f>
        <v>3.c.(1)</v>
      </c>
      <c r="D40" s="194" t="str">
        <f t="shared" si="0"/>
        <v>3</v>
      </c>
      <c r="E40" s="189" t="str">
        <f t="shared" si="1"/>
        <v>c</v>
      </c>
      <c r="F40" s="194" t="str">
        <f t="shared" si="2"/>
        <v>1</v>
      </c>
      <c r="G40" s="180" t="str">
        <f>IF(ISERROR(INDEX(Data!$C$3:$F$517,MATCH('Item IDs'!B40,Data!$F$3:$F$517,0),1)),"NOT ASSIGNED",INDEX(Data!$C$3:$F$517,MATCH('Item IDs'!B40,Data!$F$3:$F$517,0),1))</f>
        <v>(1) Secured debt securities</v>
      </c>
      <c r="H40" s="180"/>
    </row>
    <row r="41" spans="2:8">
      <c r="B41" s="178">
        <v>1037</v>
      </c>
      <c r="C41" s="179" t="str">
        <f>IF(ISERROR(VLOOKUP(B41,Data!$F$3:$H$517,3,FALSE)),"N/A",VLOOKUP(B41,Data!$F$3:$H$517,3,FALSE))</f>
        <v>3.c.(2)</v>
      </c>
      <c r="D41" s="194" t="str">
        <f t="shared" si="0"/>
        <v>3</v>
      </c>
      <c r="E41" s="189" t="str">
        <f t="shared" si="1"/>
        <v>c</v>
      </c>
      <c r="F41" s="194" t="str">
        <f t="shared" si="2"/>
        <v>2</v>
      </c>
      <c r="G41" s="180" t="str">
        <f>IF(ISERROR(INDEX(Data!$C$3:$F$517,MATCH('Item IDs'!B41,Data!$F$3:$F$517,0),1)),"NOT ASSIGNED",INDEX(Data!$C$3:$F$517,MATCH('Item IDs'!B41,Data!$F$3:$F$517,0),1))</f>
        <v>(2) Senior unsecured debt securities</v>
      </c>
      <c r="H41" s="180"/>
    </row>
    <row r="42" spans="2:8">
      <c r="B42" s="178">
        <v>1038</v>
      </c>
      <c r="C42" s="179" t="str">
        <f>IF(ISERROR(VLOOKUP(B42,Data!$F$3:$H$517,3,FALSE)),"N/A",VLOOKUP(B42,Data!$F$3:$H$517,3,FALSE))</f>
        <v>3.c.(3)</v>
      </c>
      <c r="D42" s="194" t="str">
        <f t="shared" si="0"/>
        <v>3</v>
      </c>
      <c r="E42" s="189" t="str">
        <f t="shared" si="1"/>
        <v>c</v>
      </c>
      <c r="F42" s="194" t="str">
        <f t="shared" si="2"/>
        <v>3</v>
      </c>
      <c r="G42" s="180" t="str">
        <f>IF(ISERROR(INDEX(Data!$C$3:$F$517,MATCH('Item IDs'!B42,Data!$F$3:$F$517,0),1)),"NOT ASSIGNED",INDEX(Data!$C$3:$F$517,MATCH('Item IDs'!B42,Data!$F$3:$F$517,0),1))</f>
        <v>(3) Subordinated debt securities</v>
      </c>
      <c r="H42" s="180"/>
    </row>
    <row r="43" spans="2:8">
      <c r="B43" s="178">
        <v>1039</v>
      </c>
      <c r="C43" s="179" t="str">
        <f>IF(ISERROR(VLOOKUP(B43,Data!$F$3:$H$517,3,FALSE)),"N/A",VLOOKUP(B43,Data!$F$3:$H$517,3,FALSE))</f>
        <v>3.c.(4)</v>
      </c>
      <c r="D43" s="194" t="str">
        <f t="shared" si="0"/>
        <v>3</v>
      </c>
      <c r="E43" s="189" t="str">
        <f t="shared" si="1"/>
        <v>c</v>
      </c>
      <c r="F43" s="194" t="str">
        <f t="shared" si="2"/>
        <v>4</v>
      </c>
      <c r="G43" s="180" t="str">
        <f>IF(ISERROR(INDEX(Data!$C$3:$F$517,MATCH('Item IDs'!B43,Data!$F$3:$F$517,0),1)),"NOT ASSIGNED",INDEX(Data!$C$3:$F$517,MATCH('Item IDs'!B43,Data!$F$3:$F$517,0),1))</f>
        <v xml:space="preserve">(4) Commercial paper </v>
      </c>
      <c r="H43" s="180"/>
    </row>
    <row r="44" spans="2:8">
      <c r="B44" s="178">
        <v>1040</v>
      </c>
      <c r="C44" s="179" t="str">
        <f>IF(ISERROR(VLOOKUP(B44,Data!$F$3:$H$517,3,FALSE)),"N/A",VLOOKUP(B44,Data!$F$3:$H$517,3,FALSE))</f>
        <v>3.c.(5)</v>
      </c>
      <c r="D44" s="194" t="str">
        <f t="shared" si="0"/>
        <v>3</v>
      </c>
      <c r="E44" s="189" t="str">
        <f t="shared" si="1"/>
        <v>c</v>
      </c>
      <c r="F44" s="194" t="str">
        <f t="shared" si="2"/>
        <v>5</v>
      </c>
      <c r="G44" s="180" t="str">
        <f>IF(ISERROR(INDEX(Data!$C$3:$F$517,MATCH('Item IDs'!B44,Data!$F$3:$F$517,0),1)),"NOT ASSIGNED",INDEX(Data!$C$3:$F$517,MATCH('Item IDs'!B44,Data!$F$3:$F$517,0),1))</f>
        <v>(5) Equity securities</v>
      </c>
      <c r="H44" s="180"/>
    </row>
    <row r="45" spans="2:8">
      <c r="B45" s="178">
        <v>1041</v>
      </c>
      <c r="C45" s="179" t="str">
        <f>IF(ISERROR(VLOOKUP(B45,Data!$F$3:$H$517,3,FALSE)),"N/A",VLOOKUP(B45,Data!$F$3:$H$517,3,FALSE))</f>
        <v>3.c.(6)</v>
      </c>
      <c r="D45" s="194" t="str">
        <f t="shared" si="0"/>
        <v>3</v>
      </c>
      <c r="E45" s="189" t="str">
        <f t="shared" si="1"/>
        <v>c</v>
      </c>
      <c r="F45" s="189" t="str">
        <f t="shared" si="2"/>
        <v>6</v>
      </c>
      <c r="G45" s="180" t="str">
        <f>IF(ISERROR(INDEX(Data!$C$3:$F$517,MATCH('Item IDs'!B45,Data!$F$3:$F$517,0),1)),"NOT ASSIGNED",INDEX(Data!$C$3:$F$517,MATCH('Item IDs'!B45,Data!$F$3:$F$517,0),1))</f>
        <v>(6) Offsetting short positions in relation to the specific equity securities included in item 3.c.(5)</v>
      </c>
      <c r="H45" s="180"/>
    </row>
    <row r="46" spans="2:8">
      <c r="B46" s="178">
        <v>1042</v>
      </c>
      <c r="C46" s="179" t="str">
        <f>IF(ISERROR(VLOOKUP(B46,Data!$F$3:$H$517,3,FALSE)),"N/A",VLOOKUP(B46,Data!$F$3:$H$517,3,FALSE))</f>
        <v>3.d.</v>
      </c>
      <c r="D46" s="194" t="str">
        <f t="shared" si="0"/>
        <v>3</v>
      </c>
      <c r="E46" s="189" t="str">
        <f t="shared" si="1"/>
        <v>d</v>
      </c>
      <c r="F46" s="194" t="str">
        <f t="shared" si="2"/>
        <v xml:space="preserve"> </v>
      </c>
      <c r="G46" s="180" t="str">
        <f>IF(ISERROR(INDEX(Data!$C$3:$F$517,MATCH('Item IDs'!B46,Data!$F$3:$F$517,0),1)),"NOT ASSIGNED",INDEX(Data!$C$3:$F$517,MATCH('Item IDs'!B46,Data!$F$3:$F$517,0),1))</f>
        <v>d. Net positive current exposure of securities financing transactions with other financial institutions</v>
      </c>
      <c r="H46" s="180"/>
    </row>
    <row r="47" spans="2:8">
      <c r="B47" s="178">
        <v>1043</v>
      </c>
      <c r="C47" s="179" t="str">
        <f>IF(ISERROR(VLOOKUP(B47,Data!$F$3:$H$517,3,FALSE)),"N/A",VLOOKUP(B47,Data!$F$3:$H$517,3,FALSE))</f>
        <v>3.e.(1)</v>
      </c>
      <c r="D47" s="194" t="str">
        <f t="shared" si="0"/>
        <v>3</v>
      </c>
      <c r="E47" s="189" t="str">
        <f t="shared" si="1"/>
        <v>e</v>
      </c>
      <c r="F47" s="194" t="str">
        <f t="shared" si="2"/>
        <v>1</v>
      </c>
      <c r="G47" s="180" t="str">
        <f>IF(ISERROR(INDEX(Data!$C$3:$F$517,MATCH('Item IDs'!B47,Data!$F$3:$F$517,0),1)),"NOT ASSIGNED",INDEX(Data!$C$3:$F$517,MATCH('Item IDs'!B47,Data!$F$3:$F$517,0),1))</f>
        <v>(1) Net positive fair value</v>
      </c>
      <c r="H47" s="180"/>
    </row>
    <row r="48" spans="2:8">
      <c r="B48" s="178">
        <v>1044</v>
      </c>
      <c r="C48" s="179" t="str">
        <f>IF(ISERROR(VLOOKUP(B48,Data!$F$3:$H$517,3,FALSE)),"N/A",VLOOKUP(B48,Data!$F$3:$H$517,3,FALSE))</f>
        <v>3.e.(2)</v>
      </c>
      <c r="D48" s="194" t="str">
        <f t="shared" si="0"/>
        <v>3</v>
      </c>
      <c r="E48" s="189" t="str">
        <f t="shared" si="1"/>
        <v>e</v>
      </c>
      <c r="F48" s="189" t="str">
        <f t="shared" si="2"/>
        <v>2</v>
      </c>
      <c r="G48" s="180" t="str">
        <f>IF(ISERROR(INDEX(Data!$C$3:$F$517,MATCH('Item IDs'!B48,Data!$F$3:$F$517,0),1)),"NOT ASSIGNED",INDEX(Data!$C$3:$F$517,MATCH('Item IDs'!B48,Data!$F$3:$F$517,0),1))</f>
        <v>(2) Potential future exposure</v>
      </c>
      <c r="H48" s="180"/>
    </row>
    <row r="49" spans="2:8">
      <c r="B49" s="178">
        <v>1045</v>
      </c>
      <c r="C49" s="179" t="str">
        <f>IF(ISERROR(VLOOKUP(B49,Data!$F$3:$H$517,3,FALSE)),"N/A",VLOOKUP(B49,Data!$F$3:$H$517,3,FALSE))</f>
        <v>3.f.</v>
      </c>
      <c r="D49" s="194" t="str">
        <f t="shared" si="0"/>
        <v>3</v>
      </c>
      <c r="E49" s="189" t="str">
        <f t="shared" si="1"/>
        <v>f</v>
      </c>
      <c r="F49" s="189" t="str">
        <f t="shared" si="2"/>
        <v xml:space="preserve"> </v>
      </c>
      <c r="G49" s="180">
        <f>IF(ISERROR(INDEX(Data!$C$3:$F$517,MATCH('Item IDs'!B49,Data!$F$3:$F$517,0),1)),"NOT ASSIGNED",INDEX(Data!$C$3:$F$517,MATCH('Item IDs'!B49,Data!$F$3:$F$517,0),1))</f>
        <v>0</v>
      </c>
      <c r="H49" s="180"/>
    </row>
    <row r="50" spans="2:8">
      <c r="B50" s="178">
        <v>1046</v>
      </c>
      <c r="C50" s="179" t="str">
        <f>IF(ISERROR(VLOOKUP(B50,Data!$F$3:$H$517,3,FALSE)),"N/A",VLOOKUP(B50,Data!$F$3:$H$517,3,FALSE))</f>
        <v>4.a.(1)</v>
      </c>
      <c r="D50" s="194" t="str">
        <f t="shared" si="0"/>
        <v>4</v>
      </c>
      <c r="E50" s="189" t="str">
        <f t="shared" si="1"/>
        <v>a</v>
      </c>
      <c r="F50" s="189" t="str">
        <f t="shared" si="2"/>
        <v>1</v>
      </c>
      <c r="G50" s="180" t="str">
        <f>IF(ISERROR(INDEX(Data!$C$3:$F$517,MATCH('Item IDs'!B50,Data!$F$3:$F$517,0),1)),"NOT ASSIGNED",INDEX(Data!$C$3:$F$517,MATCH('Item IDs'!B50,Data!$F$3:$F$517,0),1))</f>
        <v>(1) Deposits due to depository institutions</v>
      </c>
      <c r="H50" s="180"/>
    </row>
    <row r="51" spans="2:8">
      <c r="B51" s="178">
        <v>1047</v>
      </c>
      <c r="C51" s="179" t="str">
        <f>IF(ISERROR(VLOOKUP(B51,Data!$F$3:$H$517,3,FALSE)),"N/A",VLOOKUP(B51,Data!$F$3:$H$517,3,FALSE))</f>
        <v>4.a.(2)</v>
      </c>
      <c r="D51" s="194" t="str">
        <f t="shared" si="0"/>
        <v>4</v>
      </c>
      <c r="E51" s="189" t="str">
        <f t="shared" si="1"/>
        <v>a</v>
      </c>
      <c r="F51" s="189" t="str">
        <f t="shared" si="2"/>
        <v>2</v>
      </c>
      <c r="G51" s="180" t="str">
        <f>IF(ISERROR(INDEX(Data!$C$3:$F$517,MATCH('Item IDs'!B51,Data!$F$3:$F$517,0),1)),"NOT ASSIGNED",INDEX(Data!$C$3:$F$517,MATCH('Item IDs'!B51,Data!$F$3:$F$517,0),1))</f>
        <v>(2) Deposits due to non-depository financial institutions</v>
      </c>
      <c r="H51" s="180"/>
    </row>
    <row r="52" spans="2:8">
      <c r="B52" s="178">
        <v>1048</v>
      </c>
      <c r="C52" s="179" t="str">
        <f>IF(ISERROR(VLOOKUP(B52,Data!$F$3:$H$517,3,FALSE)),"N/A",VLOOKUP(B52,Data!$F$3:$H$517,3,FALSE))</f>
        <v>4.b.</v>
      </c>
      <c r="D52" s="194" t="str">
        <f t="shared" si="0"/>
        <v>4</v>
      </c>
      <c r="E52" s="189" t="str">
        <f t="shared" si="1"/>
        <v>b</v>
      </c>
      <c r="F52" s="189" t="str">
        <f t="shared" si="2"/>
        <v xml:space="preserve"> </v>
      </c>
      <c r="G52" s="180" t="str">
        <f>IF(ISERROR(INDEX(Data!$C$3:$F$517,MATCH('Item IDs'!B52,Data!$F$3:$F$517,0),1)),"NOT ASSIGNED",INDEX(Data!$C$3:$F$517,MATCH('Item IDs'!B52,Data!$F$3:$F$517,0),1))</f>
        <v>b. Unused portion of committed lines obtained from other financial institutions</v>
      </c>
      <c r="H52" s="180"/>
    </row>
    <row r="53" spans="2:8">
      <c r="B53" s="178">
        <v>1049</v>
      </c>
      <c r="C53" s="179" t="str">
        <f>IF(ISERROR(VLOOKUP(B53,Data!$F$3:$H$517,3,FALSE)),"N/A",VLOOKUP(B53,Data!$F$3:$H$517,3,FALSE))</f>
        <v>4.c.</v>
      </c>
      <c r="D53" s="194" t="str">
        <f t="shared" si="0"/>
        <v>4</v>
      </c>
      <c r="E53" s="189" t="str">
        <f t="shared" si="1"/>
        <v>c</v>
      </c>
      <c r="F53" s="194" t="str">
        <f t="shared" si="2"/>
        <v xml:space="preserve"> </v>
      </c>
      <c r="G53" s="180" t="str">
        <f>IF(ISERROR(INDEX(Data!$C$3:$F$517,MATCH('Item IDs'!B53,Data!$F$3:$F$517,0),1)),"NOT ASSIGNED",INDEX(Data!$C$3:$F$517,MATCH('Item IDs'!B53,Data!$F$3:$F$517,0),1))</f>
        <v>c. Net negative current exposure of securities financing transactions with other financial institutions</v>
      </c>
      <c r="H53" s="180"/>
    </row>
    <row r="54" spans="2:8">
      <c r="B54" s="178">
        <v>1050</v>
      </c>
      <c r="C54" s="179" t="str">
        <f>IF(ISERROR(VLOOKUP(B54,Data!$F$3:$H$517,3,FALSE)),"N/A",VLOOKUP(B54,Data!$F$3:$H$517,3,FALSE))</f>
        <v>4.d.(1)</v>
      </c>
      <c r="D54" s="194" t="str">
        <f t="shared" si="0"/>
        <v>4</v>
      </c>
      <c r="E54" s="189" t="str">
        <f t="shared" si="1"/>
        <v>d</v>
      </c>
      <c r="F54" s="194" t="str">
        <f t="shared" si="2"/>
        <v>1</v>
      </c>
      <c r="G54" s="180" t="str">
        <f>IF(ISERROR(INDEX(Data!$C$3:$F$517,MATCH('Item IDs'!B54,Data!$F$3:$F$517,0),1)),"NOT ASSIGNED",INDEX(Data!$C$3:$F$517,MATCH('Item IDs'!B54,Data!$F$3:$F$517,0),1))</f>
        <v>(1) Net negative fair value</v>
      </c>
      <c r="H54" s="180"/>
    </row>
    <row r="55" spans="2:8">
      <c r="B55" s="178">
        <v>1051</v>
      </c>
      <c r="C55" s="179" t="str">
        <f>IF(ISERROR(VLOOKUP(B55,Data!$F$3:$H$517,3,FALSE)),"N/A",VLOOKUP(B55,Data!$F$3:$H$517,3,FALSE))</f>
        <v>4.d.(2)</v>
      </c>
      <c r="D55" s="194" t="str">
        <f t="shared" si="0"/>
        <v>4</v>
      </c>
      <c r="E55" s="189" t="str">
        <f t="shared" si="1"/>
        <v>d</v>
      </c>
      <c r="F55" s="194" t="str">
        <f t="shared" si="2"/>
        <v>2</v>
      </c>
      <c r="G55" s="180" t="str">
        <f>IF(ISERROR(INDEX(Data!$C$3:$F$517,MATCH('Item IDs'!B55,Data!$F$3:$F$517,0),1)),"NOT ASSIGNED",INDEX(Data!$C$3:$F$517,MATCH('Item IDs'!B55,Data!$F$3:$F$517,0),1))</f>
        <v>(2) Potential future exposure</v>
      </c>
      <c r="H55" s="180"/>
    </row>
    <row r="56" spans="2:8">
      <c r="B56" s="178">
        <v>1052</v>
      </c>
      <c r="C56" s="179" t="str">
        <f>IF(ISERROR(VLOOKUP(B56,Data!$F$3:$H$517,3,FALSE)),"N/A",VLOOKUP(B56,Data!$F$3:$H$517,3,FALSE))</f>
        <v>4.e.</v>
      </c>
      <c r="D56" s="194" t="str">
        <f t="shared" si="0"/>
        <v>4</v>
      </c>
      <c r="E56" s="189" t="str">
        <f t="shared" si="1"/>
        <v>e</v>
      </c>
      <c r="F56" s="194" t="str">
        <f t="shared" si="2"/>
        <v xml:space="preserve"> </v>
      </c>
      <c r="G56" s="180" t="str">
        <f>IF(ISERROR(INDEX(Data!$C$3:$F$517,MATCH('Item IDs'!B56,Data!$F$3:$F$517,0),1)),"NOT ASSIGNED",INDEX(Data!$C$3:$F$517,MATCH('Item IDs'!B56,Data!$F$3:$F$517,0),1))</f>
        <v>e. Intra-financial system liabilities indicator (sum of items 4.a.(1) through 4.d.(2))</v>
      </c>
      <c r="H56" s="180"/>
    </row>
    <row r="57" spans="2:8">
      <c r="B57" s="178">
        <v>1053</v>
      </c>
      <c r="C57" s="179" t="str">
        <f>IF(ISERROR(VLOOKUP(B57,Data!$F$3:$H$517,3,FALSE)),"N/A",VLOOKUP(B57,Data!$F$3:$H$517,3,FALSE))</f>
        <v>5.a.</v>
      </c>
      <c r="D57" s="194" t="str">
        <f t="shared" si="0"/>
        <v>5</v>
      </c>
      <c r="E57" s="189" t="str">
        <f t="shared" si="1"/>
        <v>a</v>
      </c>
      <c r="F57" s="189" t="str">
        <f t="shared" si="2"/>
        <v xml:space="preserve"> </v>
      </c>
      <c r="G57" s="180" t="str">
        <f>IF(ISERROR(INDEX(Data!$C$3:$F$517,MATCH('Item IDs'!B57,Data!$F$3:$F$517,0),1)),"NOT ASSIGNED",INDEX(Data!$C$3:$F$517,MATCH('Item IDs'!B57,Data!$F$3:$F$517,0),1))</f>
        <v>a. Secured debt securities</v>
      </c>
      <c r="H57" s="180"/>
    </row>
    <row r="58" spans="2:8">
      <c r="B58" s="178">
        <v>1054</v>
      </c>
      <c r="C58" s="179" t="str">
        <f>IF(ISERROR(VLOOKUP(B58,Data!$F$3:$H$517,3,FALSE)),"N/A",VLOOKUP(B58,Data!$F$3:$H$517,3,FALSE))</f>
        <v>5.b.</v>
      </c>
      <c r="D58" s="194" t="str">
        <f t="shared" si="0"/>
        <v>5</v>
      </c>
      <c r="E58" s="189" t="str">
        <f t="shared" si="1"/>
        <v>b</v>
      </c>
      <c r="F58" s="189" t="str">
        <f t="shared" si="2"/>
        <v xml:space="preserve"> </v>
      </c>
      <c r="G58" s="180" t="str">
        <f>IF(ISERROR(INDEX(Data!$C$3:$F$517,MATCH('Item IDs'!B58,Data!$F$3:$F$517,0),1)),"NOT ASSIGNED",INDEX(Data!$C$3:$F$517,MATCH('Item IDs'!B58,Data!$F$3:$F$517,0),1))</f>
        <v>b. Senior unsecured debt securities</v>
      </c>
      <c r="H58" s="180"/>
    </row>
    <row r="59" spans="2:8">
      <c r="B59" s="178">
        <v>1055</v>
      </c>
      <c r="C59" s="179" t="str">
        <f>IF(ISERROR(VLOOKUP(B59,Data!$F$3:$H$517,3,FALSE)),"N/A",VLOOKUP(B59,Data!$F$3:$H$517,3,FALSE))</f>
        <v>5.c.</v>
      </c>
      <c r="D59" s="194" t="str">
        <f t="shared" si="0"/>
        <v>5</v>
      </c>
      <c r="E59" s="189" t="str">
        <f t="shared" si="1"/>
        <v>c</v>
      </c>
      <c r="F59" s="189" t="str">
        <f t="shared" si="2"/>
        <v xml:space="preserve"> </v>
      </c>
      <c r="G59" s="180" t="str">
        <f>IF(ISERROR(INDEX(Data!$C$3:$F$517,MATCH('Item IDs'!B59,Data!$F$3:$F$517,0),1)),"NOT ASSIGNED",INDEX(Data!$C$3:$F$517,MATCH('Item IDs'!B59,Data!$F$3:$F$517,0),1))</f>
        <v>c. Subordinated debt securities</v>
      </c>
      <c r="H59" s="180"/>
    </row>
    <row r="60" spans="2:8">
      <c r="B60" s="178">
        <v>1056</v>
      </c>
      <c r="C60" s="179" t="str">
        <f>IF(ISERROR(VLOOKUP(B60,Data!$F$3:$H$517,3,FALSE)),"N/A",VLOOKUP(B60,Data!$F$3:$H$517,3,FALSE))</f>
        <v>5.d.</v>
      </c>
      <c r="D60" s="194" t="str">
        <f t="shared" si="0"/>
        <v>5</v>
      </c>
      <c r="E60" s="189" t="str">
        <f t="shared" si="1"/>
        <v>d</v>
      </c>
      <c r="F60" s="189" t="str">
        <f t="shared" si="2"/>
        <v xml:space="preserve"> </v>
      </c>
      <c r="G60" s="180" t="str">
        <f>IF(ISERROR(INDEX(Data!$C$3:$F$517,MATCH('Item IDs'!B60,Data!$F$3:$F$517,0),1)),"NOT ASSIGNED",INDEX(Data!$C$3:$F$517,MATCH('Item IDs'!B60,Data!$F$3:$F$517,0),1))</f>
        <v>d. Commercial paper</v>
      </c>
      <c r="H60" s="180"/>
    </row>
    <row r="61" spans="2:8">
      <c r="B61" s="178">
        <v>1057</v>
      </c>
      <c r="C61" s="179" t="str">
        <f>IF(ISERROR(VLOOKUP(B61,Data!$F$3:$H$517,3,FALSE)),"N/A",VLOOKUP(B61,Data!$F$3:$H$517,3,FALSE))</f>
        <v>5.e.</v>
      </c>
      <c r="D61" s="194" t="str">
        <f t="shared" si="0"/>
        <v>5</v>
      </c>
      <c r="E61" s="189" t="str">
        <f t="shared" si="1"/>
        <v>e</v>
      </c>
      <c r="F61" s="189" t="str">
        <f t="shared" si="2"/>
        <v xml:space="preserve"> </v>
      </c>
      <c r="G61" s="180" t="str">
        <f>IF(ISERROR(INDEX(Data!$C$3:$F$517,MATCH('Item IDs'!B61,Data!$F$3:$F$517,0),1)),"NOT ASSIGNED",INDEX(Data!$C$3:$F$517,MATCH('Item IDs'!B61,Data!$F$3:$F$517,0),1))</f>
        <v>e. Certificates of deposit</v>
      </c>
      <c r="H61" s="180"/>
    </row>
    <row r="62" spans="2:8">
      <c r="B62" s="178">
        <v>1058</v>
      </c>
      <c r="C62" s="179" t="str">
        <f>IF(ISERROR(VLOOKUP(B62,Data!$F$3:$H$517,3,FALSE)),"N/A",VLOOKUP(B62,Data!$F$3:$H$517,3,FALSE))</f>
        <v>5.f.</v>
      </c>
      <c r="D62" s="194" t="str">
        <f t="shared" si="0"/>
        <v>5</v>
      </c>
      <c r="E62" s="189" t="str">
        <f t="shared" si="1"/>
        <v>f</v>
      </c>
      <c r="F62" s="189" t="str">
        <f t="shared" si="2"/>
        <v xml:space="preserve"> </v>
      </c>
      <c r="G62" s="180" t="str">
        <f>IF(ISERROR(INDEX(Data!$C$3:$F$517,MATCH('Item IDs'!B62,Data!$F$3:$F$517,0),1)),"NOT ASSIGNED",INDEX(Data!$C$3:$F$517,MATCH('Item IDs'!B62,Data!$F$3:$F$517,0),1))</f>
        <v>f. Common equity</v>
      </c>
      <c r="H62" s="180"/>
    </row>
    <row r="63" spans="2:8">
      <c r="B63" s="178">
        <v>1059</v>
      </c>
      <c r="C63" s="179" t="str">
        <f>IF(ISERROR(VLOOKUP(B63,Data!$F$3:$H$517,3,FALSE)),"N/A",VLOOKUP(B63,Data!$F$3:$H$517,3,FALSE))</f>
        <v>5.g.</v>
      </c>
      <c r="D63" s="194" t="str">
        <f t="shared" si="0"/>
        <v>5</v>
      </c>
      <c r="E63" s="189" t="str">
        <f t="shared" si="1"/>
        <v>g</v>
      </c>
      <c r="F63" s="189" t="str">
        <f t="shared" si="2"/>
        <v xml:space="preserve"> </v>
      </c>
      <c r="G63" s="180" t="str">
        <f>IF(ISERROR(INDEX(Data!$C$3:$F$517,MATCH('Item IDs'!B63,Data!$F$3:$F$517,0),1)),"NOT ASSIGNED",INDEX(Data!$C$3:$F$517,MATCH('Item IDs'!B63,Data!$F$3:$F$517,0),1))</f>
        <v>g. Preferred shares and any other forms of subordinated funding not captured in item 5.c.</v>
      </c>
      <c r="H63" s="180"/>
    </row>
    <row r="64" spans="2:8">
      <c r="B64" s="178">
        <v>1060</v>
      </c>
      <c r="C64" s="179" t="str">
        <f>IF(ISERROR(VLOOKUP(B64,Data!$F$3:$H$517,3,FALSE)),"N/A",VLOOKUP(B64,Data!$F$3:$H$517,3,FALSE))</f>
        <v>5.h.</v>
      </c>
      <c r="D64" s="194" t="str">
        <f t="shared" si="0"/>
        <v>5</v>
      </c>
      <c r="E64" s="189" t="str">
        <f t="shared" si="1"/>
        <v>h</v>
      </c>
      <c r="F64" s="189" t="str">
        <f t="shared" si="2"/>
        <v xml:space="preserve"> </v>
      </c>
      <c r="G64" s="180" t="str">
        <f>IF(ISERROR(INDEX(Data!$C$3:$F$517,MATCH('Item IDs'!B64,Data!$F$3:$F$517,0),1)),"NOT ASSIGNED",INDEX(Data!$C$3:$F$517,MATCH('Item IDs'!B64,Data!$F$3:$F$517,0),1))</f>
        <v>h. Securities outstanding indicator (sum of items 5.a through 5.g)</v>
      </c>
      <c r="H64" s="180"/>
    </row>
    <row r="65" spans="2:8">
      <c r="B65" s="178">
        <v>1061</v>
      </c>
      <c r="C65" s="179" t="str">
        <f>IF(ISERROR(VLOOKUP(B65,Data!$F$3:$H$517,3,FALSE)),"N/A",VLOOKUP(B65,Data!$F$3:$H$517,3,FALSE))</f>
        <v>6.a.</v>
      </c>
      <c r="D65" s="194" t="str">
        <f t="shared" si="0"/>
        <v>6</v>
      </c>
      <c r="E65" s="189" t="str">
        <f t="shared" si="1"/>
        <v>a</v>
      </c>
      <c r="F65" s="194" t="str">
        <f t="shared" si="2"/>
        <v xml:space="preserve"> </v>
      </c>
      <c r="G65" s="180" t="str">
        <f>IF(ISERROR(INDEX(Data!$C$3:$F$517,MATCH('Item IDs'!B65,Data!$F$3:$F$517,0),1)),"NOT ASSIGNED",INDEX(Data!$C$3:$F$517,MATCH('Item IDs'!B65,Data!$F$3:$F$517,0),1))</f>
        <v>a. Australian dollars (AUD)</v>
      </c>
      <c r="H65" s="180"/>
    </row>
    <row r="66" spans="2:8">
      <c r="B66" s="178">
        <v>1062</v>
      </c>
      <c r="C66" s="179" t="str">
        <f>IF(ISERROR(VLOOKUP(B66,Data!$F$3:$H$517,3,FALSE)),"N/A",VLOOKUP(B66,Data!$F$3:$H$517,3,FALSE))</f>
        <v>6.b.</v>
      </c>
      <c r="D66" s="194" t="str">
        <f t="shared" si="0"/>
        <v>6</v>
      </c>
      <c r="E66" s="189" t="str">
        <f t="shared" si="1"/>
        <v>b</v>
      </c>
      <c r="F66" s="194" t="str">
        <f t="shared" si="2"/>
        <v xml:space="preserve"> </v>
      </c>
      <c r="G66" s="180" t="str">
        <f>IF(ISERROR(INDEX(Data!$C$3:$F$517,MATCH('Item IDs'!B66,Data!$F$3:$F$517,0),1)),"NOT ASSIGNED",INDEX(Data!$C$3:$F$517,MATCH('Item IDs'!B66,Data!$F$3:$F$517,0),1))</f>
        <v>b. Brazilian real (BRL)</v>
      </c>
      <c r="H66" s="180"/>
    </row>
    <row r="67" spans="2:8">
      <c r="B67" s="178">
        <v>1063</v>
      </c>
      <c r="C67" s="179" t="str">
        <f>IF(ISERROR(VLOOKUP(B67,Data!$F$3:$H$517,3,FALSE)),"N/A",VLOOKUP(B67,Data!$F$3:$H$517,3,FALSE))</f>
        <v>6.c.</v>
      </c>
      <c r="D67" s="194" t="str">
        <f t="shared" si="0"/>
        <v>6</v>
      </c>
      <c r="E67" s="189" t="str">
        <f t="shared" si="1"/>
        <v>c</v>
      </c>
      <c r="F67" s="194" t="str">
        <f t="shared" si="2"/>
        <v xml:space="preserve"> </v>
      </c>
      <c r="G67" s="180" t="str">
        <f>IF(ISERROR(INDEX(Data!$C$3:$F$517,MATCH('Item IDs'!B67,Data!$F$3:$F$517,0),1)),"NOT ASSIGNED",INDEX(Data!$C$3:$F$517,MATCH('Item IDs'!B67,Data!$F$3:$F$517,0),1))</f>
        <v>c. Canadian dollars (CAD)</v>
      </c>
      <c r="H67" s="180"/>
    </row>
    <row r="68" spans="2:8">
      <c r="B68" s="178">
        <v>1064</v>
      </c>
      <c r="C68" s="179" t="str">
        <f>IF(ISERROR(VLOOKUP(B68,Data!$F$3:$H$517,3,FALSE)),"N/A",VLOOKUP(B68,Data!$F$3:$H$517,3,FALSE))</f>
        <v>6.d.</v>
      </c>
      <c r="D68" s="194" t="str">
        <f t="shared" si="0"/>
        <v>6</v>
      </c>
      <c r="E68" s="189" t="str">
        <f t="shared" si="1"/>
        <v>d</v>
      </c>
      <c r="F68" s="189" t="str">
        <f t="shared" si="2"/>
        <v xml:space="preserve"> </v>
      </c>
      <c r="G68" s="180" t="str">
        <f>IF(ISERROR(INDEX(Data!$C$3:$F$517,MATCH('Item IDs'!B68,Data!$F$3:$F$517,0),1)),"NOT ASSIGNED",INDEX(Data!$C$3:$F$517,MATCH('Item IDs'!B68,Data!$F$3:$F$517,0),1))</f>
        <v>d. Swiss francs (CHF)</v>
      </c>
      <c r="H68" s="180"/>
    </row>
    <row r="69" spans="2:8">
      <c r="B69" s="178">
        <v>1065</v>
      </c>
      <c r="C69" s="179" t="str">
        <f>IF(ISERROR(VLOOKUP(B69,Data!$F$3:$H$517,3,FALSE)),"N/A",VLOOKUP(B69,Data!$F$3:$H$517,3,FALSE))</f>
        <v>6.e.</v>
      </c>
      <c r="D69" s="194" t="str">
        <f t="shared" ref="D69:D132" si="3">IF(ISERROR(FIND(".",C69))," ",LEFT(C69,FIND(".",C69)-1))</f>
        <v>6</v>
      </c>
      <c r="E69" s="189" t="str">
        <f t="shared" ref="E69:E132" si="4">IF(ISERROR(FIND(".",C69))," ",LEFT(RIGHT(C69,LEN(C69)-FIND(".",C69)),FIND(".",RIGHT(C69,LEN(C69)-FIND(".",C69)))-1))</f>
        <v>e</v>
      </c>
      <c r="F69" s="189" t="str">
        <f t="shared" ref="F69:F132" si="5">IF(ISERROR(FIND("(",C69))," ",MID(C69,FIND("(",C69)+1,FIND(")",C69)-FIND("(",C69)-1))</f>
        <v xml:space="preserve"> </v>
      </c>
      <c r="G69" s="180" t="str">
        <f>IF(ISERROR(INDEX(Data!$C$3:$F$517,MATCH('Item IDs'!B69,Data!$F$3:$F$517,0),1)),"NOT ASSIGNED",INDEX(Data!$C$3:$F$517,MATCH('Item IDs'!B69,Data!$F$3:$F$517,0),1))</f>
        <v>e. Chinese yuan (CNY)</v>
      </c>
      <c r="H69" s="180"/>
    </row>
    <row r="70" spans="2:8">
      <c r="B70" s="178">
        <v>1066</v>
      </c>
      <c r="C70" s="179" t="str">
        <f>IF(ISERROR(VLOOKUP(B70,Data!$F$3:$H$517,3,FALSE)),"N/A",VLOOKUP(B70,Data!$F$3:$H$517,3,FALSE))</f>
        <v>6.f.</v>
      </c>
      <c r="D70" s="194" t="str">
        <f t="shared" si="3"/>
        <v>6</v>
      </c>
      <c r="E70" s="189" t="str">
        <f t="shared" si="4"/>
        <v>f</v>
      </c>
      <c r="F70" s="189" t="str">
        <f t="shared" si="5"/>
        <v xml:space="preserve"> </v>
      </c>
      <c r="G70" s="180" t="str">
        <f>IF(ISERROR(INDEX(Data!$C$3:$F$517,MATCH('Item IDs'!B70,Data!$F$3:$F$517,0),1)),"NOT ASSIGNED",INDEX(Data!$C$3:$F$517,MATCH('Item IDs'!B70,Data!$F$3:$F$517,0),1))</f>
        <v>f. Euros (EUR)</v>
      </c>
      <c r="H70" s="180"/>
    </row>
    <row r="71" spans="2:8">
      <c r="B71" s="178">
        <v>1067</v>
      </c>
      <c r="C71" s="179" t="str">
        <f>IF(ISERROR(VLOOKUP(B71,Data!$F$3:$H$517,3,FALSE)),"N/A",VLOOKUP(B71,Data!$F$3:$H$517,3,FALSE))</f>
        <v>6.g.</v>
      </c>
      <c r="D71" s="194" t="str">
        <f t="shared" si="3"/>
        <v>6</v>
      </c>
      <c r="E71" s="189" t="str">
        <f t="shared" si="4"/>
        <v>g</v>
      </c>
      <c r="F71" s="189" t="str">
        <f t="shared" si="5"/>
        <v xml:space="preserve"> </v>
      </c>
      <c r="G71" s="180" t="str">
        <f>IF(ISERROR(INDEX(Data!$C$3:$F$517,MATCH('Item IDs'!B71,Data!$F$3:$F$517,0),1)),"NOT ASSIGNED",INDEX(Data!$C$3:$F$517,MATCH('Item IDs'!B71,Data!$F$3:$F$517,0),1))</f>
        <v>g. British pounds (GBP)</v>
      </c>
      <c r="H71" s="180"/>
    </row>
    <row r="72" spans="2:8">
      <c r="B72" s="178">
        <v>1068</v>
      </c>
      <c r="C72" s="179" t="str">
        <f>IF(ISERROR(VLOOKUP(B72,Data!$F$3:$H$517,3,FALSE)),"N/A",VLOOKUP(B72,Data!$F$3:$H$517,3,FALSE))</f>
        <v>6.h.</v>
      </c>
      <c r="D72" s="194" t="str">
        <f t="shared" si="3"/>
        <v>6</v>
      </c>
      <c r="E72" s="189" t="str">
        <f t="shared" si="4"/>
        <v>h</v>
      </c>
      <c r="F72" s="189" t="str">
        <f t="shared" si="5"/>
        <v xml:space="preserve"> </v>
      </c>
      <c r="G72" s="180" t="str">
        <f>IF(ISERROR(INDEX(Data!$C$3:$F$517,MATCH('Item IDs'!B72,Data!$F$3:$F$517,0),1)),"NOT ASSIGNED",INDEX(Data!$C$3:$F$517,MATCH('Item IDs'!B72,Data!$F$3:$F$517,0),1))</f>
        <v>h. Hong Kong dollars (HKD)</v>
      </c>
      <c r="H72" s="180"/>
    </row>
    <row r="73" spans="2:8">
      <c r="B73" s="178">
        <v>1069</v>
      </c>
      <c r="C73" s="179" t="str">
        <f>IF(ISERROR(VLOOKUP(B73,Data!$F$3:$H$517,3,FALSE)),"N/A",VLOOKUP(B73,Data!$F$3:$H$517,3,FALSE))</f>
        <v>6.i.</v>
      </c>
      <c r="D73" s="194" t="str">
        <f t="shared" si="3"/>
        <v>6</v>
      </c>
      <c r="E73" s="189" t="str">
        <f t="shared" si="4"/>
        <v>i</v>
      </c>
      <c r="F73" s="189" t="str">
        <f t="shared" si="5"/>
        <v xml:space="preserve"> </v>
      </c>
      <c r="G73" s="180" t="str">
        <f>IF(ISERROR(INDEX(Data!$C$3:$F$517,MATCH('Item IDs'!B73,Data!$F$3:$F$517,0),1)),"NOT ASSIGNED",INDEX(Data!$C$3:$F$517,MATCH('Item IDs'!B73,Data!$F$3:$F$517,0),1))</f>
        <v>i. Indian rupee (INR)</v>
      </c>
      <c r="H73" s="180"/>
    </row>
    <row r="74" spans="2:8">
      <c r="B74" s="178">
        <v>1070</v>
      </c>
      <c r="C74" s="179" t="str">
        <f>IF(ISERROR(VLOOKUP(B74,Data!$F$3:$H$517,3,FALSE)),"N/A",VLOOKUP(B74,Data!$F$3:$H$517,3,FALSE))</f>
        <v>6.j.</v>
      </c>
      <c r="D74" s="194" t="str">
        <f t="shared" si="3"/>
        <v>6</v>
      </c>
      <c r="E74" s="189" t="str">
        <f t="shared" si="4"/>
        <v>j</v>
      </c>
      <c r="F74" s="189" t="str">
        <f t="shared" si="5"/>
        <v xml:space="preserve"> </v>
      </c>
      <c r="G74" s="180" t="str">
        <f>IF(ISERROR(INDEX(Data!$C$3:$F$517,MATCH('Item IDs'!B74,Data!$F$3:$F$517,0),1)),"NOT ASSIGNED",INDEX(Data!$C$3:$F$517,MATCH('Item IDs'!B74,Data!$F$3:$F$517,0),1))</f>
        <v>j. Japanese yen (JPY)</v>
      </c>
      <c r="H74" s="180"/>
    </row>
    <row r="75" spans="2:8">
      <c r="B75" s="178">
        <v>1071</v>
      </c>
      <c r="C75" s="179" t="str">
        <f>IF(ISERROR(VLOOKUP(B75,Data!$F$3:$H$517,3,FALSE)),"N/A",VLOOKUP(B75,Data!$F$3:$H$517,3,FALSE))</f>
        <v>6.k.</v>
      </c>
      <c r="D75" s="194" t="str">
        <f t="shared" si="3"/>
        <v>6</v>
      </c>
      <c r="E75" s="189" t="str">
        <f t="shared" si="4"/>
        <v>k</v>
      </c>
      <c r="F75" s="189" t="str">
        <f t="shared" si="5"/>
        <v xml:space="preserve"> </v>
      </c>
      <c r="G75" s="180" t="str">
        <f>IF(ISERROR(INDEX(Data!$C$3:$F$517,MATCH('Item IDs'!B75,Data!$F$3:$F$517,0),1)),"NOT ASSIGNED",INDEX(Data!$C$3:$F$517,MATCH('Item IDs'!B75,Data!$F$3:$F$517,0),1))</f>
        <v>k. Swedish krona (SEK)</v>
      </c>
      <c r="H75" s="180"/>
    </row>
    <row r="76" spans="2:8">
      <c r="B76" s="178">
        <v>1072</v>
      </c>
      <c r="C76" s="179" t="str">
        <f>IF(ISERROR(VLOOKUP(B76,Data!$F$3:$H$517,3,FALSE)),"N/A",VLOOKUP(B76,Data!$F$3:$H$517,3,FALSE))</f>
        <v>6.l.</v>
      </c>
      <c r="D76" s="194" t="str">
        <f t="shared" si="3"/>
        <v>6</v>
      </c>
      <c r="E76" s="189" t="str">
        <f t="shared" si="4"/>
        <v>l</v>
      </c>
      <c r="F76" s="189" t="str">
        <f t="shared" si="5"/>
        <v xml:space="preserve"> </v>
      </c>
      <c r="G76" s="180" t="str">
        <f>IF(ISERROR(INDEX(Data!$C$3:$F$517,MATCH('Item IDs'!B76,Data!$F$3:$F$517,0),1)),"NOT ASSIGNED",INDEX(Data!$C$3:$F$517,MATCH('Item IDs'!B76,Data!$F$3:$F$517,0),1))</f>
        <v>l. United States dollars (USD)</v>
      </c>
      <c r="H76" s="180"/>
    </row>
    <row r="77" spans="2:8">
      <c r="B77" s="178">
        <v>1073</v>
      </c>
      <c r="C77" s="179" t="str">
        <f>IF(ISERROR(VLOOKUP(B77,Data!$F$3:$H$517,3,FALSE)),"N/A",VLOOKUP(B77,Data!$F$3:$H$517,3,FALSE))</f>
        <v>6.m.</v>
      </c>
      <c r="D77" s="194" t="str">
        <f t="shared" si="3"/>
        <v>6</v>
      </c>
      <c r="E77" s="189" t="str">
        <f t="shared" si="4"/>
        <v>m</v>
      </c>
      <c r="F77" s="189" t="str">
        <f t="shared" si="5"/>
        <v xml:space="preserve"> </v>
      </c>
      <c r="G77" s="180" t="str">
        <f>IF(ISERROR(INDEX(Data!$C$3:$F$517,MATCH('Item IDs'!B77,Data!$F$3:$F$517,0),1)),"NOT ASSIGNED",INDEX(Data!$C$3:$F$517,MATCH('Item IDs'!B77,Data!$F$3:$F$517,0),1))</f>
        <v>m. Payments activity indicator (sum of items 6.a through 6.l)</v>
      </c>
      <c r="H77" s="180"/>
    </row>
    <row r="78" spans="2:8">
      <c r="B78" s="178">
        <v>1074</v>
      </c>
      <c r="C78" s="179" t="str">
        <f>IF(ISERROR(VLOOKUP(B78,Data!$F$3:$H$517,3,FALSE)),"N/A",VLOOKUP(B78,Data!$F$3:$H$517,3,FALSE))</f>
        <v>7.a.</v>
      </c>
      <c r="D78" s="194" t="str">
        <f t="shared" si="3"/>
        <v>7</v>
      </c>
      <c r="E78" s="189" t="str">
        <f t="shared" si="4"/>
        <v>a</v>
      </c>
      <c r="F78" s="189" t="str">
        <f t="shared" si="5"/>
        <v xml:space="preserve"> </v>
      </c>
      <c r="G78" s="180" t="str">
        <f>IF(ISERROR(INDEX(Data!$C$3:$F$517,MATCH('Item IDs'!B78,Data!$F$3:$F$517,0),1)),"NOT ASSIGNED",INDEX(Data!$C$3:$F$517,MATCH('Item IDs'!B78,Data!$F$3:$F$517,0),1))</f>
        <v>a. Assets under custody indicator</v>
      </c>
      <c r="H78" s="180"/>
    </row>
    <row r="79" spans="2:8">
      <c r="B79" s="178">
        <v>1075</v>
      </c>
      <c r="C79" s="179" t="str">
        <f>IF(ISERROR(VLOOKUP(B79,Data!$F$3:$H$517,3,FALSE)),"N/A",VLOOKUP(B79,Data!$F$3:$H$517,3,FALSE))</f>
        <v>8.a.</v>
      </c>
      <c r="D79" s="194" t="str">
        <f t="shared" si="3"/>
        <v>8</v>
      </c>
      <c r="E79" s="189" t="str">
        <f t="shared" si="4"/>
        <v>a</v>
      </c>
      <c r="F79" s="189" t="str">
        <f t="shared" si="5"/>
        <v xml:space="preserve"> </v>
      </c>
      <c r="G79" s="180" t="str">
        <f>IF(ISERROR(INDEX(Data!$C$3:$F$517,MATCH('Item IDs'!B79,Data!$F$3:$F$517,0),1)),"NOT ASSIGNED",INDEX(Data!$C$3:$F$517,MATCH('Item IDs'!B79,Data!$F$3:$F$517,0),1))</f>
        <v>a. Equity underwriting activity</v>
      </c>
      <c r="H79" s="180"/>
    </row>
    <row r="80" spans="2:8">
      <c r="B80" s="178">
        <v>1076</v>
      </c>
      <c r="C80" s="179" t="str">
        <f>IF(ISERROR(VLOOKUP(B80,Data!$F$3:$H$517,3,FALSE)),"N/A",VLOOKUP(B80,Data!$F$3:$H$517,3,FALSE))</f>
        <v>8.b.</v>
      </c>
      <c r="D80" s="194" t="str">
        <f t="shared" si="3"/>
        <v>8</v>
      </c>
      <c r="E80" s="189" t="str">
        <f t="shared" si="4"/>
        <v>b</v>
      </c>
      <c r="F80" s="189" t="str">
        <f t="shared" si="5"/>
        <v xml:space="preserve"> </v>
      </c>
      <c r="G80" s="180" t="str">
        <f>IF(ISERROR(INDEX(Data!$C$3:$F$517,MATCH('Item IDs'!B80,Data!$F$3:$F$517,0),1)),"NOT ASSIGNED",INDEX(Data!$C$3:$F$517,MATCH('Item IDs'!B80,Data!$F$3:$F$517,0),1))</f>
        <v>b. Debt underwriting activity</v>
      </c>
      <c r="H80" s="180"/>
    </row>
    <row r="81" spans="2:8">
      <c r="B81" s="178">
        <v>1077</v>
      </c>
      <c r="C81" s="179" t="str">
        <f>IF(ISERROR(VLOOKUP(B81,Data!$F$3:$H$517,3,FALSE)),"N/A",VLOOKUP(B81,Data!$F$3:$H$517,3,FALSE))</f>
        <v>8.c.</v>
      </c>
      <c r="D81" s="194" t="str">
        <f t="shared" si="3"/>
        <v>8</v>
      </c>
      <c r="E81" s="189" t="str">
        <f t="shared" si="4"/>
        <v>c</v>
      </c>
      <c r="F81" s="194" t="str">
        <f t="shared" si="5"/>
        <v xml:space="preserve"> </v>
      </c>
      <c r="G81" s="180" t="str">
        <f>IF(ISERROR(INDEX(Data!$C$3:$F$517,MATCH('Item IDs'!B81,Data!$F$3:$F$517,0),1)),"NOT ASSIGNED",INDEX(Data!$C$3:$F$517,MATCH('Item IDs'!B81,Data!$F$3:$F$517,0),1))</f>
        <v>c. Underwriting activity indicator (sum of items 8.a and 8.b)</v>
      </c>
      <c r="H81" s="180"/>
    </row>
    <row r="82" spans="2:8">
      <c r="B82" s="178">
        <v>1078</v>
      </c>
      <c r="C82" s="179" t="str">
        <f>IF(ISERROR(VLOOKUP(B82,Data!$F$3:$H$517,3,FALSE)),"N/A",VLOOKUP(B82,Data!$F$3:$H$517,3,FALSE))</f>
        <v>9.a.</v>
      </c>
      <c r="D82" s="194" t="str">
        <f t="shared" si="3"/>
        <v>9</v>
      </c>
      <c r="E82" s="189" t="str">
        <f t="shared" si="4"/>
        <v>a</v>
      </c>
      <c r="F82" s="194" t="str">
        <f t="shared" si="5"/>
        <v xml:space="preserve"> </v>
      </c>
      <c r="G82" s="180" t="str">
        <f>IF(ISERROR(INDEX(Data!$C$3:$F$517,MATCH('Item IDs'!B82,Data!$F$3:$F$517,0),1)),"NOT ASSIGNED",INDEX(Data!$C$3:$F$517,MATCH('Item IDs'!B82,Data!$F$3:$F$517,0),1))</f>
        <v>a. OTC derivatives cleared through a central counterparty</v>
      </c>
      <c r="H82" s="180"/>
    </row>
    <row r="83" spans="2:8">
      <c r="B83" s="178">
        <v>1079</v>
      </c>
      <c r="C83" s="179" t="str">
        <f>IF(ISERROR(VLOOKUP(B83,Data!$F$3:$H$517,3,FALSE)),"N/A",VLOOKUP(B83,Data!$F$3:$H$517,3,FALSE))</f>
        <v>9.b.</v>
      </c>
      <c r="D83" s="194" t="str">
        <f t="shared" si="3"/>
        <v>9</v>
      </c>
      <c r="E83" s="189" t="str">
        <f t="shared" si="4"/>
        <v>b</v>
      </c>
      <c r="F83" s="194" t="str">
        <f t="shared" si="5"/>
        <v xml:space="preserve"> </v>
      </c>
      <c r="G83" s="180" t="str">
        <f>IF(ISERROR(INDEX(Data!$C$3:$F$517,MATCH('Item IDs'!B83,Data!$F$3:$F$517,0),1)),"NOT ASSIGNED",INDEX(Data!$C$3:$F$517,MATCH('Item IDs'!B83,Data!$F$3:$F$517,0),1))</f>
        <v>b. OTC derivatives settled bilaterally</v>
      </c>
      <c r="H83" s="180"/>
    </row>
    <row r="84" spans="2:8">
      <c r="B84" s="178">
        <v>1080</v>
      </c>
      <c r="C84" s="179" t="str">
        <f>IF(ISERROR(VLOOKUP(B84,Data!$F$3:$H$517,3,FALSE)),"N/A",VLOOKUP(B84,Data!$F$3:$H$517,3,FALSE))</f>
        <v>9.c.</v>
      </c>
      <c r="D84" s="194" t="str">
        <f t="shared" si="3"/>
        <v>9</v>
      </c>
      <c r="E84" s="189" t="str">
        <f t="shared" si="4"/>
        <v>c</v>
      </c>
      <c r="F84" s="189" t="str">
        <f t="shared" si="5"/>
        <v xml:space="preserve"> </v>
      </c>
      <c r="G84" s="180" t="str">
        <f>IF(ISERROR(INDEX(Data!$C$3:$F$517,MATCH('Item IDs'!B84,Data!$F$3:$F$517,0),1)),"NOT ASSIGNED",INDEX(Data!$C$3:$F$517,MATCH('Item IDs'!B84,Data!$F$3:$F$517,0),1))</f>
        <v>c. OTC derivatives indicator (sum of items 9.a and 9.b)</v>
      </c>
      <c r="H84" s="180"/>
    </row>
    <row r="85" spans="2:8">
      <c r="B85" s="178">
        <v>1081</v>
      </c>
      <c r="C85" s="179" t="str">
        <f>IF(ISERROR(VLOOKUP(B85,Data!$F$3:$H$517,3,FALSE)),"N/A",VLOOKUP(B85,Data!$F$3:$H$517,3,FALSE))</f>
        <v>10.a.</v>
      </c>
      <c r="D85" s="194" t="str">
        <f t="shared" si="3"/>
        <v>10</v>
      </c>
      <c r="E85" s="189" t="str">
        <f t="shared" si="4"/>
        <v>a</v>
      </c>
      <c r="F85" s="189" t="str">
        <f t="shared" si="5"/>
        <v xml:space="preserve"> </v>
      </c>
      <c r="G85" s="180" t="str">
        <f>IF(ISERROR(INDEX(Data!$C$3:$F$517,MATCH('Item IDs'!B85,Data!$F$3:$F$517,0),1)),"NOT ASSIGNED",INDEX(Data!$C$3:$F$517,MATCH('Item IDs'!B85,Data!$F$3:$F$517,0),1))</f>
        <v>a. Held-for-trading securities (HFT)</v>
      </c>
      <c r="H85" s="180"/>
    </row>
    <row r="86" spans="2:8">
      <c r="B86" s="178">
        <v>1082</v>
      </c>
      <c r="C86" s="179" t="str">
        <f>IF(ISERROR(VLOOKUP(B86,Data!$F$3:$H$517,3,FALSE)),"N/A",VLOOKUP(B86,Data!$F$3:$H$517,3,FALSE))</f>
        <v>10.b.</v>
      </c>
      <c r="D86" s="194" t="str">
        <f t="shared" si="3"/>
        <v>10</v>
      </c>
      <c r="E86" s="189" t="str">
        <f t="shared" si="4"/>
        <v>b</v>
      </c>
      <c r="F86" s="189" t="str">
        <f t="shared" si="5"/>
        <v xml:space="preserve"> </v>
      </c>
      <c r="G86" s="180" t="str">
        <f>IF(ISERROR(INDEX(Data!$C$3:$F$517,MATCH('Item IDs'!B86,Data!$F$3:$F$517,0),1)),"NOT ASSIGNED",INDEX(Data!$C$3:$F$517,MATCH('Item IDs'!B86,Data!$F$3:$F$517,0),1))</f>
        <v>b. Available-for-sale securities (AFS)</v>
      </c>
      <c r="H86" s="180"/>
    </row>
    <row r="87" spans="2:8">
      <c r="B87" s="178">
        <v>1083</v>
      </c>
      <c r="C87" s="179" t="str">
        <f>IF(ISERROR(VLOOKUP(B87,Data!$F$3:$H$517,3,FALSE)),"N/A",VLOOKUP(B87,Data!$F$3:$H$517,3,FALSE))</f>
        <v xml:space="preserve">10.c. </v>
      </c>
      <c r="D87" s="194" t="str">
        <f t="shared" si="3"/>
        <v>10</v>
      </c>
      <c r="E87" s="189" t="str">
        <f t="shared" si="4"/>
        <v>c</v>
      </c>
      <c r="F87" s="189" t="str">
        <f t="shared" si="5"/>
        <v xml:space="preserve"> </v>
      </c>
      <c r="G87" s="180" t="str">
        <f>IF(ISERROR(INDEX(Data!$C$3:$F$517,MATCH('Item IDs'!B87,Data!$F$3:$F$517,0),1)),"NOT ASSIGNED",INDEX(Data!$C$3:$F$517,MATCH('Item IDs'!B87,Data!$F$3:$F$517,0),1))</f>
        <v>c. Trading and AFS securities that meet the definition of Level 1 assets</v>
      </c>
      <c r="H87" s="180"/>
    </row>
    <row r="88" spans="2:8">
      <c r="B88" s="178">
        <v>1084</v>
      </c>
      <c r="C88" s="179" t="str">
        <f>IF(ISERROR(VLOOKUP(B88,Data!$F$3:$H$517,3,FALSE)),"N/A",VLOOKUP(B88,Data!$F$3:$H$517,3,FALSE))</f>
        <v>10.d.</v>
      </c>
      <c r="D88" s="194" t="str">
        <f t="shared" si="3"/>
        <v>10</v>
      </c>
      <c r="E88" s="189" t="str">
        <f t="shared" si="4"/>
        <v>d</v>
      </c>
      <c r="F88" s="189" t="str">
        <f t="shared" si="5"/>
        <v xml:space="preserve"> </v>
      </c>
      <c r="G88" s="180" t="str">
        <f>IF(ISERROR(INDEX(Data!$C$3:$F$517,MATCH('Item IDs'!B88,Data!$F$3:$F$517,0),1)),"NOT ASSIGNED",INDEX(Data!$C$3:$F$517,MATCH('Item IDs'!B88,Data!$F$3:$F$517,0),1))</f>
        <v>d. Trading and AFS securities that meet the definition of Level 2 assets, with haircuts</v>
      </c>
      <c r="H88" s="180"/>
    </row>
    <row r="89" spans="2:8">
      <c r="B89" s="178">
        <v>1085</v>
      </c>
      <c r="C89" s="179" t="str">
        <f>IF(ISERROR(VLOOKUP(B89,Data!$F$3:$H$517,3,FALSE)),"N/A",VLOOKUP(B89,Data!$F$3:$H$517,3,FALSE))</f>
        <v>10.e.</v>
      </c>
      <c r="D89" s="194" t="str">
        <f t="shared" si="3"/>
        <v>10</v>
      </c>
      <c r="E89" s="189" t="str">
        <f t="shared" si="4"/>
        <v>e</v>
      </c>
      <c r="F89" s="189" t="str">
        <f t="shared" si="5"/>
        <v xml:space="preserve"> </v>
      </c>
      <c r="G89" s="180" t="str">
        <f>IF(ISERROR(INDEX(Data!$C$3:$F$517,MATCH('Item IDs'!B89,Data!$F$3:$F$517,0),1)),"NOT ASSIGNED",INDEX(Data!$C$3:$F$517,MATCH('Item IDs'!B89,Data!$F$3:$F$517,0),1))</f>
        <v>e. Trading and AFS securities indicator (sum of items 10.a and 10.b, minus the sum of 10.c and 10.d)</v>
      </c>
      <c r="H89" s="180"/>
    </row>
    <row r="90" spans="2:8">
      <c r="B90" s="178">
        <v>1086</v>
      </c>
      <c r="C90" s="179" t="str">
        <f>IF(ISERROR(VLOOKUP(B90,Data!$F$3:$H$517,3,FALSE)),"N/A",VLOOKUP(B90,Data!$F$3:$H$517,3,FALSE))</f>
        <v>11.a.</v>
      </c>
      <c r="D90" s="194" t="str">
        <f t="shared" si="3"/>
        <v>11</v>
      </c>
      <c r="E90" s="189" t="str">
        <f t="shared" si="4"/>
        <v>a</v>
      </c>
      <c r="F90" s="189" t="str">
        <f t="shared" si="5"/>
        <v xml:space="preserve"> </v>
      </c>
      <c r="G90" s="180" t="str">
        <f>IF(ISERROR(INDEX(Data!$C$3:$F$517,MATCH('Item IDs'!B90,Data!$F$3:$F$517,0),1)),"NOT ASSIGNED",INDEX(Data!$C$3:$F$517,MATCH('Item IDs'!B90,Data!$F$3:$F$517,0),1))</f>
        <v>a. Level 3 assets indicator (Assets valued for accounting purposes using Level 3 measurement inputs)</v>
      </c>
      <c r="H90" s="180"/>
    </row>
    <row r="91" spans="2:8">
      <c r="B91" s="178">
        <v>1087</v>
      </c>
      <c r="C91" s="179" t="str">
        <f>IF(ISERROR(VLOOKUP(B91,Data!$F$3:$H$517,3,FALSE)),"N/A",VLOOKUP(B91,Data!$F$3:$H$517,3,FALSE))</f>
        <v>12.a.</v>
      </c>
      <c r="D91" s="194" t="str">
        <f t="shared" si="3"/>
        <v>12</v>
      </c>
      <c r="E91" s="189" t="str">
        <f t="shared" si="4"/>
        <v>a</v>
      </c>
      <c r="F91" s="189" t="str">
        <f t="shared" si="5"/>
        <v xml:space="preserve"> </v>
      </c>
      <c r="G91" s="180" t="str">
        <f>IF(ISERROR(INDEX(Data!$C$3:$F$517,MATCH('Item IDs'!B91,Data!$F$3:$F$517,0),1)),"NOT ASSIGNED",INDEX(Data!$C$3:$F$517,MATCH('Item IDs'!B91,Data!$F$3:$F$517,0),1))</f>
        <v>a. Cross-jurisdictional claims indicator (Total foreign claims on an ultimate risk basis)</v>
      </c>
      <c r="H91" s="180"/>
    </row>
    <row r="92" spans="2:8">
      <c r="B92" s="178">
        <v>1088</v>
      </c>
      <c r="C92" s="179" t="str">
        <f>IF(ISERROR(VLOOKUP(B92,Data!$F$3:$H$517,3,FALSE)),"N/A",VLOOKUP(B92,Data!$F$3:$H$517,3,FALSE))</f>
        <v>13.a.</v>
      </c>
      <c r="D92" s="194" t="str">
        <f t="shared" si="3"/>
        <v>13</v>
      </c>
      <c r="E92" s="189" t="str">
        <f t="shared" si="4"/>
        <v>a</v>
      </c>
      <c r="F92" s="189" t="str">
        <f t="shared" si="5"/>
        <v xml:space="preserve"> </v>
      </c>
      <c r="G92" s="180" t="str">
        <f>IF(ISERROR(INDEX(Data!$C$3:$F$517,MATCH('Item IDs'!B92,Data!$F$3:$F$517,0),1)),"NOT ASSIGNED",INDEX(Data!$C$3:$F$517,MATCH('Item IDs'!B92,Data!$F$3:$F$517,0),1))</f>
        <v>a. Foreign liabilities (excluding derivatives and local liabilities in local currency)</v>
      </c>
      <c r="H92" s="180"/>
    </row>
    <row r="93" spans="2:8">
      <c r="B93" s="178">
        <v>1089</v>
      </c>
      <c r="C93" s="179" t="str">
        <f>IF(ISERROR(VLOOKUP(B93,Data!$F$3:$H$517,3,FALSE)),"N/A",VLOOKUP(B93,Data!$F$3:$H$517,3,FALSE))</f>
        <v>13.a.(1)</v>
      </c>
      <c r="D93" s="194" t="str">
        <f t="shared" si="3"/>
        <v>13</v>
      </c>
      <c r="E93" s="189" t="str">
        <f t="shared" si="4"/>
        <v>a</v>
      </c>
      <c r="F93" s="189" t="str">
        <f t="shared" si="5"/>
        <v>1</v>
      </c>
      <c r="G93" s="180" t="str">
        <f>IF(ISERROR(INDEX(Data!$C$3:$F$517,MATCH('Item IDs'!B93,Data!$F$3:$F$517,0),1)),"NOT ASSIGNED",INDEX(Data!$C$3:$F$517,MATCH('Item IDs'!B93,Data!$F$3:$F$517,0),1))</f>
        <v>(1) Any foreign liabilities to related offices included in item 13.a.</v>
      </c>
      <c r="H93" s="180"/>
    </row>
    <row r="94" spans="2:8">
      <c r="B94" s="178">
        <v>1090</v>
      </c>
      <c r="C94" s="179" t="str">
        <f>IF(ISERROR(VLOOKUP(B94,Data!$F$3:$H$517,3,FALSE)),"N/A",VLOOKUP(B94,Data!$F$3:$H$517,3,FALSE))</f>
        <v>13.b.</v>
      </c>
      <c r="D94" s="194" t="str">
        <f t="shared" si="3"/>
        <v>13</v>
      </c>
      <c r="E94" s="189" t="str">
        <f t="shared" si="4"/>
        <v>b</v>
      </c>
      <c r="F94" s="189" t="str">
        <f t="shared" si="5"/>
        <v xml:space="preserve"> </v>
      </c>
      <c r="G94" s="180" t="str">
        <f>IF(ISERROR(INDEX(Data!$C$3:$F$517,MATCH('Item IDs'!B94,Data!$F$3:$F$517,0),1)),"NOT ASSIGNED",INDEX(Data!$C$3:$F$517,MATCH('Item IDs'!B94,Data!$F$3:$F$517,0),1))</f>
        <v>b. Local liabilities in local currency (excluding derivatives activity)</v>
      </c>
      <c r="H94" s="180"/>
    </row>
    <row r="95" spans="2:8">
      <c r="B95" s="178">
        <v>1091</v>
      </c>
      <c r="C95" s="179" t="str">
        <f>IF(ISERROR(VLOOKUP(B95,Data!$F$3:$H$517,3,FALSE)),"N/A",VLOOKUP(B95,Data!$F$3:$H$517,3,FALSE))</f>
        <v>13.c.</v>
      </c>
      <c r="D95" s="194" t="str">
        <f t="shared" si="3"/>
        <v>13</v>
      </c>
      <c r="E95" s="189" t="str">
        <f t="shared" si="4"/>
        <v>c</v>
      </c>
      <c r="F95" s="189" t="str">
        <f t="shared" si="5"/>
        <v xml:space="preserve"> </v>
      </c>
      <c r="G95" s="180" t="str">
        <f>IF(ISERROR(INDEX(Data!$C$3:$F$517,MATCH('Item IDs'!B95,Data!$F$3:$F$517,0),1)),"NOT ASSIGNED",INDEX(Data!$C$3:$F$517,MATCH('Item IDs'!B95,Data!$F$3:$F$517,0),1))</f>
        <v>c. Cross-jurisdictional liabilities indicator (sum of items 13.a and 13.b, minus 13.a.(1))</v>
      </c>
      <c r="H95" s="180"/>
    </row>
    <row r="96" spans="2:8">
      <c r="B96" s="178">
        <v>1092</v>
      </c>
      <c r="C96" s="179" t="str">
        <f>IF(ISERROR(VLOOKUP(B96,Data!$F$3:$H$517,3,FALSE)),"N/A",VLOOKUP(B96,Data!$F$3:$H$517,3,FALSE))</f>
        <v>14.a.</v>
      </c>
      <c r="D96" s="194" t="str">
        <f t="shared" si="3"/>
        <v>14</v>
      </c>
      <c r="E96" s="189" t="str">
        <f t="shared" si="4"/>
        <v>a</v>
      </c>
      <c r="F96" s="194" t="str">
        <f t="shared" si="5"/>
        <v xml:space="preserve"> </v>
      </c>
      <c r="G96" s="180" t="str">
        <f>IF(ISERROR(INDEX(Data!$C$3:$F$517,MATCH('Item IDs'!B96,Data!$F$3:$F$517,0),1)),"NOT ASSIGNED",INDEX(Data!$C$3:$F$517,MATCH('Item IDs'!B96,Data!$F$3:$F$517,0),1))</f>
        <v>a. Total liabilities</v>
      </c>
      <c r="H96" s="180"/>
    </row>
    <row r="97" spans="2:8">
      <c r="B97" s="178">
        <v>1093</v>
      </c>
      <c r="C97" s="179" t="str">
        <f>IF(ISERROR(VLOOKUP(B97,Data!$F$3:$H$517,3,FALSE)),"N/A",VLOOKUP(B97,Data!$F$3:$H$517,3,FALSE))</f>
        <v>14.b.</v>
      </c>
      <c r="D97" s="194" t="str">
        <f t="shared" si="3"/>
        <v>14</v>
      </c>
      <c r="E97" s="189" t="str">
        <f t="shared" si="4"/>
        <v>b</v>
      </c>
      <c r="F97" s="189" t="str">
        <f t="shared" si="5"/>
        <v xml:space="preserve"> </v>
      </c>
      <c r="G97" s="180" t="str">
        <f>IF(ISERROR(INDEX(Data!$C$3:$F$517,MATCH('Item IDs'!B97,Data!$F$3:$F$517,0),1)),"NOT ASSIGNED",INDEX(Data!$C$3:$F$517,MATCH('Item IDs'!B97,Data!$F$3:$F$517,0),1))</f>
        <v>b. Retail funding</v>
      </c>
      <c r="H97" s="180"/>
    </row>
    <row r="98" spans="2:8">
      <c r="B98" s="178">
        <v>1094</v>
      </c>
      <c r="C98" s="179" t="str">
        <f>IF(ISERROR(VLOOKUP(B98,Data!$F$3:$H$517,3,FALSE)),"N/A",VLOOKUP(B98,Data!$F$3:$H$517,3,FALSE))</f>
        <v>14.c.</v>
      </c>
      <c r="D98" s="194" t="str">
        <f t="shared" si="3"/>
        <v>14</v>
      </c>
      <c r="E98" s="189" t="str">
        <f t="shared" si="4"/>
        <v>c</v>
      </c>
      <c r="F98" s="189" t="str">
        <f t="shared" si="5"/>
        <v xml:space="preserve"> </v>
      </c>
      <c r="G98" s="180" t="str">
        <f>IF(ISERROR(INDEX(Data!$C$3:$F$517,MATCH('Item IDs'!B98,Data!$F$3:$F$517,0),1)),"NOT ASSIGNED",INDEX(Data!$C$3:$F$517,MATCH('Item IDs'!B98,Data!$F$3:$F$517,0),1))</f>
        <v>c. Wholesale funding dependence ratio (the difference between items 14.a and 14.b, divided by 14.a)</v>
      </c>
      <c r="H98" s="180"/>
    </row>
    <row r="99" spans="2:8">
      <c r="B99" s="178">
        <v>1095</v>
      </c>
      <c r="C99" s="179" t="str">
        <f>IF(ISERROR(VLOOKUP(B99,Data!$F$3:$H$517,3,FALSE)),"N/A",VLOOKUP(B99,Data!$F$3:$H$517,3,FALSE))</f>
        <v>14.d.</v>
      </c>
      <c r="D99" s="194" t="str">
        <f t="shared" si="3"/>
        <v>14</v>
      </c>
      <c r="E99" s="189" t="str">
        <f t="shared" si="4"/>
        <v>d</v>
      </c>
      <c r="F99" s="189" t="str">
        <f t="shared" si="5"/>
        <v xml:space="preserve"> </v>
      </c>
      <c r="G99" s="180" t="str">
        <f>IF(ISERROR(INDEX(Data!$C$3:$F$517,MATCH('Item IDs'!B99,Data!$F$3:$F$517,0),1)),"NOT ASSIGNED",INDEX(Data!$C$3:$F$517,MATCH('Item IDs'!B99,Data!$F$3:$F$517,0),1))</f>
        <v>d. Total gross revenue</v>
      </c>
      <c r="H99" s="180"/>
    </row>
    <row r="100" spans="2:8">
      <c r="B100" s="178">
        <v>1096</v>
      </c>
      <c r="C100" s="179" t="str">
        <f>IF(ISERROR(VLOOKUP(B100,Data!$F$3:$H$517,3,FALSE)),"N/A",VLOOKUP(B100,Data!$F$3:$H$517,3,FALSE))</f>
        <v>14.e.</v>
      </c>
      <c r="D100" s="194" t="str">
        <f t="shared" si="3"/>
        <v>14</v>
      </c>
      <c r="E100" s="189" t="str">
        <f t="shared" si="4"/>
        <v>e</v>
      </c>
      <c r="F100" s="194" t="str">
        <f t="shared" si="5"/>
        <v xml:space="preserve"> </v>
      </c>
      <c r="G100" s="180" t="str">
        <f>IF(ISERROR(INDEX(Data!$C$3:$F$517,MATCH('Item IDs'!B100,Data!$F$3:$F$517,0),1)),"NOT ASSIGNED",INDEX(Data!$C$3:$F$517,MATCH('Item IDs'!B100,Data!$F$3:$F$517,0),1))</f>
        <v>e. Total net revenue</v>
      </c>
      <c r="H100" s="180"/>
    </row>
    <row r="101" spans="2:8">
      <c r="B101" s="178">
        <v>1097</v>
      </c>
      <c r="C101" s="179" t="str">
        <f>IF(ISERROR(VLOOKUP(B101,Data!$F$3:$H$517,3,FALSE)),"N/A",VLOOKUP(B101,Data!$F$3:$H$517,3,FALSE))</f>
        <v>14.f.</v>
      </c>
      <c r="D101" s="194" t="str">
        <f t="shared" si="3"/>
        <v>14</v>
      </c>
      <c r="E101" s="189" t="str">
        <f t="shared" si="4"/>
        <v>f</v>
      </c>
      <c r="F101" s="194" t="str">
        <f t="shared" si="5"/>
        <v xml:space="preserve"> </v>
      </c>
      <c r="G101" s="180" t="str">
        <f>IF(ISERROR(INDEX(Data!$C$3:$F$517,MATCH('Item IDs'!B101,Data!$F$3:$F$517,0),1)),"NOT ASSIGNED",INDEX(Data!$C$3:$F$517,MATCH('Item IDs'!B101,Data!$F$3:$F$517,0),1))</f>
        <v>f. Foreign net revenue</v>
      </c>
      <c r="H101" s="180"/>
    </row>
    <row r="102" spans="2:8">
      <c r="B102" s="178">
        <v>1098</v>
      </c>
      <c r="C102" s="179" t="str">
        <f>IF(ISERROR(VLOOKUP(B102,Data!$F$3:$H$517,3,FALSE)),"N/A",VLOOKUP(B102,Data!$F$3:$H$517,3,FALSE))</f>
        <v>14.g.</v>
      </c>
      <c r="D102" s="194" t="str">
        <f t="shared" si="3"/>
        <v>14</v>
      </c>
      <c r="E102" s="189" t="str">
        <f t="shared" si="4"/>
        <v>g</v>
      </c>
      <c r="F102" s="189" t="str">
        <f t="shared" si="5"/>
        <v xml:space="preserve"> </v>
      </c>
      <c r="G102" s="180" t="str">
        <f>IF(ISERROR(INDEX(Data!$C$3:$F$517,MATCH('Item IDs'!B102,Data!$F$3:$F$517,0),1)),"NOT ASSIGNED",INDEX(Data!$C$3:$F$517,MATCH('Item IDs'!B102,Data!$F$3:$F$517,0),1))</f>
        <v>g. Gross value of cash provided and gross fair value of securities provided in SFTs</v>
      </c>
      <c r="H102" s="180"/>
    </row>
    <row r="103" spans="2:8">
      <c r="B103" s="178">
        <v>1099</v>
      </c>
      <c r="C103" s="179" t="str">
        <f>IF(ISERROR(VLOOKUP(B103,Data!$F$3:$H$517,3,FALSE)),"N/A",VLOOKUP(B103,Data!$F$3:$H$517,3,FALSE))</f>
        <v>14.h.</v>
      </c>
      <c r="D103" s="194" t="str">
        <f t="shared" si="3"/>
        <v>14</v>
      </c>
      <c r="E103" s="189" t="str">
        <f t="shared" si="4"/>
        <v>h</v>
      </c>
      <c r="F103" s="194" t="str">
        <f t="shared" si="5"/>
        <v xml:space="preserve"> </v>
      </c>
      <c r="G103" s="180" t="str">
        <f>IF(ISERROR(INDEX(Data!$C$3:$F$517,MATCH('Item IDs'!B103,Data!$F$3:$F$517,0),1)),"NOT ASSIGNED",INDEX(Data!$C$3:$F$517,MATCH('Item IDs'!B103,Data!$F$3:$F$517,0),1))</f>
        <v>h. Gross value of cash borrowed and gross fair value of securities borrowed in SFTs</v>
      </c>
      <c r="H103" s="180"/>
    </row>
    <row r="104" spans="2:8">
      <c r="B104" s="178">
        <v>1100</v>
      </c>
      <c r="C104" s="179" t="str">
        <f>IF(ISERROR(VLOOKUP(B104,Data!$F$3:$H$517,3,FALSE)),"N/A",VLOOKUP(B104,Data!$F$3:$H$517,3,FALSE))</f>
        <v>14.i.</v>
      </c>
      <c r="D104" s="194" t="str">
        <f t="shared" si="3"/>
        <v>14</v>
      </c>
      <c r="E104" s="189" t="str">
        <f t="shared" si="4"/>
        <v>i</v>
      </c>
      <c r="F104" s="189" t="str">
        <f t="shared" si="5"/>
        <v xml:space="preserve"> </v>
      </c>
      <c r="G104" s="180" t="str">
        <f>IF(ISERROR(INDEX(Data!$C$3:$F$517,MATCH('Item IDs'!B104,Data!$F$3:$F$517,0),1)),"NOT ASSIGNED",INDEX(Data!$C$3:$F$517,MATCH('Item IDs'!B104,Data!$F$3:$F$517,0),1))</f>
        <v>i. Gross positive fair value of over-the-counter (OTC) derivatives transactions</v>
      </c>
      <c r="H104" s="180"/>
    </row>
    <row r="105" spans="2:8">
      <c r="B105" s="178">
        <v>1101</v>
      </c>
      <c r="C105" s="179" t="str">
        <f>IF(ISERROR(VLOOKUP(B105,Data!$F$3:$H$517,3,FALSE)),"N/A",VLOOKUP(B105,Data!$F$3:$H$517,3,FALSE))</f>
        <v>14.j.</v>
      </c>
      <c r="D105" s="194" t="str">
        <f t="shared" si="3"/>
        <v>14</v>
      </c>
      <c r="E105" s="189" t="str">
        <f t="shared" si="4"/>
        <v>j</v>
      </c>
      <c r="F105" s="194" t="str">
        <f t="shared" si="5"/>
        <v xml:space="preserve"> </v>
      </c>
      <c r="G105" s="180" t="str">
        <f>IF(ISERROR(INDEX(Data!$C$3:$F$517,MATCH('Item IDs'!B105,Data!$F$3:$F$517,0),1)),"NOT ASSIGNED",INDEX(Data!$C$3:$F$517,MATCH('Item IDs'!B105,Data!$F$3:$F$517,0),1))</f>
        <v>j. Gross negative fair value of OTC derivatives transactions</v>
      </c>
      <c r="H105" s="180"/>
    </row>
    <row r="106" spans="2:8">
      <c r="B106" s="178">
        <v>1102</v>
      </c>
      <c r="C106" s="179" t="str">
        <f>IF(ISERROR(VLOOKUP(B106,Data!$F$3:$H$517,3,FALSE)),"N/A",VLOOKUP(B106,Data!$F$3:$H$517,3,FALSE))</f>
        <v>14.k.</v>
      </c>
      <c r="D106" s="194" t="str">
        <f t="shared" si="3"/>
        <v>14</v>
      </c>
      <c r="E106" s="189" t="str">
        <f t="shared" si="4"/>
        <v>k</v>
      </c>
      <c r="F106" s="189" t="str">
        <f t="shared" si="5"/>
        <v xml:space="preserve"> </v>
      </c>
      <c r="G106" s="180" t="str">
        <f>IF(ISERROR(INDEX(Data!$C$3:$F$517,MATCH('Item IDs'!B106,Data!$F$3:$F$517,0),1)),"NOT ASSIGNED",INDEX(Data!$C$3:$F$517,MATCH('Item IDs'!B106,Data!$F$3:$F$517,0),1))</f>
        <v xml:space="preserve">k. Number of jurisdictions </v>
      </c>
      <c r="H106" s="180"/>
    </row>
    <row r="107" spans="2:8">
      <c r="B107" s="178">
        <v>1103</v>
      </c>
      <c r="C107" s="179" t="str">
        <f>IF(ISERROR(VLOOKUP(B107,Data!$F$3:$H$517,3,FALSE)),"N/A",VLOOKUP(B107,Data!$F$3:$H$517,3,FALSE))</f>
        <v>2.f.</v>
      </c>
      <c r="D107" s="194" t="str">
        <f t="shared" si="3"/>
        <v>2</v>
      </c>
      <c r="E107" s="189" t="str">
        <f t="shared" si="4"/>
        <v>f</v>
      </c>
      <c r="F107" s="189" t="str">
        <f t="shared" si="5"/>
        <v xml:space="preserve"> </v>
      </c>
      <c r="G107" s="180">
        <f>IF(ISERROR(INDEX(Data!$C$3:$F$517,MATCH('Item IDs'!B107,Data!$F$3:$F$517,0),1)),"NOT ASSIGNED",INDEX(Data!$C$3:$F$517,MATCH('Item IDs'!B107,Data!$F$3:$F$517,0),1))</f>
        <v>0</v>
      </c>
      <c r="H107" s="180"/>
    </row>
    <row r="108" spans="2:8">
      <c r="B108" s="246">
        <v>1104</v>
      </c>
      <c r="C108" s="247" t="s">
        <v>215</v>
      </c>
      <c r="D108" s="248" t="s">
        <v>462</v>
      </c>
      <c r="E108" s="249" t="s">
        <v>463</v>
      </c>
      <c r="F108" s="249" t="s">
        <v>464</v>
      </c>
      <c r="G108" s="250" t="s">
        <v>358</v>
      </c>
      <c r="H108" s="250">
        <v>2014</v>
      </c>
    </row>
    <row r="109" spans="2:8">
      <c r="B109" s="178">
        <v>1105</v>
      </c>
      <c r="C109" s="179" t="str">
        <f>IF(ISERROR(VLOOKUP(B109,Data!$F$3:$H$517,3,FALSE)),"N/A",VLOOKUP(B109,Data!$F$3:$H$517,3,FALSE))</f>
        <v>4.a.(3)</v>
      </c>
      <c r="D109" s="194" t="str">
        <f t="shared" si="3"/>
        <v>4</v>
      </c>
      <c r="E109" s="189" t="str">
        <f t="shared" si="4"/>
        <v>a</v>
      </c>
      <c r="F109" s="189" t="str">
        <f t="shared" si="5"/>
        <v>3</v>
      </c>
      <c r="G109" s="180" t="str">
        <f>IF(ISERROR(INDEX(Data!$C$3:$F$517,MATCH('Item IDs'!B109,Data!$F$3:$F$517,0),1)),"NOT ASSIGNED",INDEX(Data!$C$3:$F$517,MATCH('Item IDs'!B109,Data!$F$3:$F$517,0),1))</f>
        <v>(3) Loans obtained from other financial institutions</v>
      </c>
      <c r="H109" s="180"/>
    </row>
    <row r="110" spans="2:8">
      <c r="B110" s="246">
        <v>1106</v>
      </c>
      <c r="C110" s="247" t="s">
        <v>600</v>
      </c>
      <c r="D110" s="248" t="s">
        <v>462</v>
      </c>
      <c r="E110" s="249" t="s">
        <v>466</v>
      </c>
      <c r="F110" s="249" t="s">
        <v>464</v>
      </c>
      <c r="G110" s="250" t="s">
        <v>601</v>
      </c>
      <c r="H110" s="250">
        <v>2014</v>
      </c>
    </row>
    <row r="111" spans="2:8">
      <c r="B111" s="178">
        <v>1107</v>
      </c>
      <c r="C111" s="179" t="str">
        <f>IF(ISERROR(VLOOKUP(B111,Data!$F$3:$H$517,3,FALSE)),"N/A",VLOOKUP(B111,Data!$F$3:$H$517,3,FALSE))</f>
        <v>15.e.</v>
      </c>
      <c r="D111" s="194" t="str">
        <f t="shared" si="3"/>
        <v>15</v>
      </c>
      <c r="E111" s="189" t="str">
        <f t="shared" si="4"/>
        <v>e</v>
      </c>
      <c r="F111" s="189" t="str">
        <f t="shared" si="5"/>
        <v xml:space="preserve"> </v>
      </c>
      <c r="G111" s="180" t="str">
        <f>IF(ISERROR(INDEX(Data!$C$3:$F$517,MATCH('Item IDs'!B111,Data!$F$3:$F$517,0),1)),"NOT ASSIGNED",INDEX(Data!$C$3:$F$517,MATCH('Item IDs'!B111,Data!$F$3:$F$517,0),1))</f>
        <v>e. Held-to-maturity securities</v>
      </c>
      <c r="H111" s="180"/>
    </row>
    <row r="112" spans="2:8">
      <c r="B112" s="178">
        <v>1108</v>
      </c>
      <c r="C112" s="179" t="str">
        <f>IF(ISERROR(VLOOKUP(B112,Data!$F$3:$H$517,3,FALSE)),"N/A",VLOOKUP(B112,Data!$F$3:$H$517,3,FALSE))</f>
        <v>15.f.(1)</v>
      </c>
      <c r="D112" s="194" t="str">
        <f t="shared" si="3"/>
        <v>15</v>
      </c>
      <c r="E112" s="189" t="str">
        <f t="shared" si="4"/>
        <v>f</v>
      </c>
      <c r="F112" s="189" t="str">
        <f t="shared" si="5"/>
        <v>1</v>
      </c>
      <c r="G112" s="180" t="str">
        <f>IF(ISERROR(INDEX(Data!$C$3:$F$517,MATCH('Item IDs'!B112,Data!$F$3:$F$517,0),1)),"NOT ASSIGNED",INDEX(Data!$C$3:$F$517,MATCH('Item IDs'!B112,Data!$F$3:$F$517,0),1))</f>
        <v>(1) Mexican pesos (MXN)</v>
      </c>
      <c r="H112" s="180"/>
    </row>
    <row r="113" spans="2:8">
      <c r="B113" s="178">
        <v>1109</v>
      </c>
      <c r="C113" s="179" t="str">
        <f>IF(ISERROR(VLOOKUP(B113,Data!$F$3:$H$517,3,FALSE)),"N/A",VLOOKUP(B113,Data!$F$3:$H$517,3,FALSE))</f>
        <v>15.f.(2)</v>
      </c>
      <c r="D113" s="194" t="str">
        <f t="shared" si="3"/>
        <v>15</v>
      </c>
      <c r="E113" s="189" t="str">
        <f t="shared" si="4"/>
        <v>f</v>
      </c>
      <c r="F113" s="189" t="str">
        <f t="shared" si="5"/>
        <v>2</v>
      </c>
      <c r="G113" s="180" t="str">
        <f>IF(ISERROR(INDEX(Data!$C$3:$F$517,MATCH('Item IDs'!B113,Data!$F$3:$F$517,0),1)),"NOT ASSIGNED",INDEX(Data!$C$3:$F$517,MATCH('Item IDs'!B113,Data!$F$3:$F$517,0),1))</f>
        <v>(2) New Zealand dollars (NZD)</v>
      </c>
      <c r="H113" s="180"/>
    </row>
    <row r="114" spans="2:8">
      <c r="B114" s="178">
        <v>1110</v>
      </c>
      <c r="C114" s="179" t="str">
        <f>IF(ISERROR(VLOOKUP(B114,Data!$F$3:$H$517,3,FALSE)),"N/A",VLOOKUP(B114,Data!$F$3:$H$517,3,FALSE))</f>
        <v>15.f.(3)</v>
      </c>
      <c r="D114" s="194" t="str">
        <f t="shared" si="3"/>
        <v>15</v>
      </c>
      <c r="E114" s="189" t="str">
        <f t="shared" si="4"/>
        <v>f</v>
      </c>
      <c r="F114" s="189" t="str">
        <f t="shared" si="5"/>
        <v>3</v>
      </c>
      <c r="G114" s="180" t="str">
        <f>IF(ISERROR(INDEX(Data!$C$3:$F$517,MATCH('Item IDs'!B114,Data!$F$3:$F$517,0),1)),"NOT ASSIGNED",INDEX(Data!$C$3:$F$517,MATCH('Item IDs'!B114,Data!$F$3:$F$517,0),1))</f>
        <v>(3) Russian rubles (RUB)</v>
      </c>
      <c r="H114" s="180"/>
    </row>
    <row r="115" spans="2:8">
      <c r="B115" s="246">
        <v>1111</v>
      </c>
      <c r="C115" s="247" t="s">
        <v>272</v>
      </c>
      <c r="D115" s="248" t="s">
        <v>602</v>
      </c>
      <c r="E115" s="249" t="s">
        <v>476</v>
      </c>
      <c r="F115" s="249" t="s">
        <v>464</v>
      </c>
      <c r="G115" s="250" t="s">
        <v>365</v>
      </c>
      <c r="H115" s="250">
        <v>2014</v>
      </c>
    </row>
    <row r="116" spans="2:8">
      <c r="B116" s="246">
        <v>1112</v>
      </c>
      <c r="C116" s="247" t="s">
        <v>273</v>
      </c>
      <c r="D116" s="248" t="s">
        <v>602</v>
      </c>
      <c r="E116" s="249" t="s">
        <v>463</v>
      </c>
      <c r="F116" s="249" t="s">
        <v>464</v>
      </c>
      <c r="G116" s="250" t="s">
        <v>366</v>
      </c>
      <c r="H116" s="250">
        <v>2014</v>
      </c>
    </row>
    <row r="117" spans="2:8">
      <c r="B117" s="246">
        <v>1113</v>
      </c>
      <c r="C117" s="247" t="s">
        <v>274</v>
      </c>
      <c r="D117" s="248" t="s">
        <v>602</v>
      </c>
      <c r="E117" s="249" t="s">
        <v>477</v>
      </c>
      <c r="F117" s="249" t="s">
        <v>464</v>
      </c>
      <c r="G117" s="250" t="s">
        <v>378</v>
      </c>
      <c r="H117" s="250">
        <v>2014</v>
      </c>
    </row>
    <row r="118" spans="2:8">
      <c r="B118" s="246">
        <v>1114</v>
      </c>
      <c r="C118" s="247" t="s">
        <v>275</v>
      </c>
      <c r="D118" s="248" t="s">
        <v>602</v>
      </c>
      <c r="E118" s="249" t="s">
        <v>466</v>
      </c>
      <c r="F118" s="249" t="s">
        <v>464</v>
      </c>
      <c r="G118" s="250" t="s">
        <v>379</v>
      </c>
      <c r="H118" s="250">
        <v>2014</v>
      </c>
    </row>
    <row r="119" spans="2:8">
      <c r="B119" s="246">
        <v>1115</v>
      </c>
      <c r="C119" s="247" t="s">
        <v>276</v>
      </c>
      <c r="D119" s="248" t="s">
        <v>602</v>
      </c>
      <c r="E119" s="249" t="s">
        <v>467</v>
      </c>
      <c r="F119" s="249" t="s">
        <v>464</v>
      </c>
      <c r="G119" s="250" t="s">
        <v>375</v>
      </c>
      <c r="H119" s="250">
        <v>2014</v>
      </c>
    </row>
    <row r="120" spans="2:8">
      <c r="B120" s="246">
        <v>1116</v>
      </c>
      <c r="C120" s="247" t="s">
        <v>377</v>
      </c>
      <c r="D120" s="248" t="s">
        <v>602</v>
      </c>
      <c r="E120" s="249" t="s">
        <v>478</v>
      </c>
      <c r="F120" s="249" t="s">
        <v>464</v>
      </c>
      <c r="G120" s="250" t="s">
        <v>376</v>
      </c>
      <c r="H120" s="250">
        <v>2014</v>
      </c>
    </row>
    <row r="121" spans="2:8">
      <c r="B121" s="178">
        <v>1117</v>
      </c>
      <c r="C121" s="179" t="str">
        <f>IF(ISERROR(VLOOKUP(B121,Data!$F$3:$H$517,3,FALSE)),"N/A",VLOOKUP(B121,Data!$F$3:$H$517,3,FALSE))</f>
        <v>16.c.</v>
      </c>
      <c r="D121" s="194" t="str">
        <f t="shared" si="3"/>
        <v>16</v>
      </c>
      <c r="E121" s="189" t="str">
        <f t="shared" si="4"/>
        <v>c</v>
      </c>
      <c r="F121" s="189" t="str">
        <f t="shared" si="5"/>
        <v xml:space="preserve"> </v>
      </c>
      <c r="G121" s="180" t="str">
        <f>IF(ISERROR(INDEX(Data!$C$3:$F$517,MATCH('Item IDs'!B121,Data!$F$3:$F$517,0),1)),"NOT ASSIGNED",INDEX(Data!$C$3:$F$517,MATCH('Item IDs'!B121,Data!$F$3:$F$517,0),1))</f>
        <v>c. Total exposures, including insurance subsidiaries</v>
      </c>
      <c r="H121" s="180"/>
    </row>
    <row r="122" spans="2:8">
      <c r="B122" s="178">
        <v>1118</v>
      </c>
      <c r="C122" s="179" t="str">
        <f>IF(ISERROR(VLOOKUP(B122,Data!$F$3:$H$517,3,FALSE)),"N/A",VLOOKUP(B122,Data!$F$3:$H$517,3,FALSE))</f>
        <v>17.a.</v>
      </c>
      <c r="D122" s="194" t="str">
        <f t="shared" si="3"/>
        <v>17</v>
      </c>
      <c r="E122" s="189" t="str">
        <f t="shared" si="4"/>
        <v>a</v>
      </c>
      <c r="F122" s="189" t="str">
        <f t="shared" si="5"/>
        <v xml:space="preserve"> </v>
      </c>
      <c r="G122" s="180" t="str">
        <f>IF(ISERROR(INDEX(Data!$C$3:$F$517,MATCH('Item IDs'!B122,Data!$F$3:$F$517,0),1)),"NOT ASSIGNED",INDEX(Data!$C$3:$F$517,MATCH('Item IDs'!B122,Data!$F$3:$F$517,0),1))</f>
        <v>a. Book value of equities for which a market price is unavailable</v>
      </c>
      <c r="H122" s="180"/>
    </row>
    <row r="123" spans="2:8">
      <c r="B123" s="178">
        <v>1119</v>
      </c>
      <c r="C123" s="179" t="str">
        <f>IF(ISERROR(VLOOKUP(B123,Data!$F$3:$H$517,3,FALSE)),"N/A",VLOOKUP(B123,Data!$F$3:$H$517,3,FALSE))</f>
        <v>17.b.</v>
      </c>
      <c r="D123" s="194" t="str">
        <f t="shared" si="3"/>
        <v>17</v>
      </c>
      <c r="E123" s="189" t="str">
        <f t="shared" si="4"/>
        <v>b</v>
      </c>
      <c r="F123" s="189" t="str">
        <f t="shared" si="5"/>
        <v xml:space="preserve"> </v>
      </c>
      <c r="G123" s="180" t="str">
        <f>IF(ISERROR(INDEX(Data!$C$3:$F$517,MATCH('Item IDs'!B123,Data!$F$3:$F$517,0),1)),"NOT ASSIGNED",INDEX(Data!$C$3:$F$517,MATCH('Item IDs'!B123,Data!$F$3:$F$517,0),1))</f>
        <v>b. Certificates of mutual banks issued</v>
      </c>
      <c r="H123" s="180"/>
    </row>
    <row r="124" spans="2:8">
      <c r="B124" s="178">
        <v>1120</v>
      </c>
      <c r="C124" s="179" t="str">
        <f>IF(ISERROR(VLOOKUP(B124,Data!$F$3:$H$517,3,FALSE)),"N/A",VLOOKUP(B124,Data!$F$3:$H$517,3,FALSE))</f>
        <v>17.c.</v>
      </c>
      <c r="D124" s="194" t="str">
        <f t="shared" si="3"/>
        <v>17</v>
      </c>
      <c r="E124" s="189" t="str">
        <f t="shared" si="4"/>
        <v>c</v>
      </c>
      <c r="F124" s="189" t="str">
        <f t="shared" si="5"/>
        <v xml:space="preserve"> </v>
      </c>
      <c r="G124" s="180" t="str">
        <f>IF(ISERROR(INDEX(Data!$C$3:$F$517,MATCH('Item IDs'!B124,Data!$F$3:$F$517,0),1)),"NOT ASSIGNED",INDEX(Data!$C$3:$F$517,MATCH('Item IDs'!B124,Data!$F$3:$F$517,0),1))</f>
        <v>c. Minority interest</v>
      </c>
      <c r="H124" s="180"/>
    </row>
    <row r="125" spans="2:8">
      <c r="B125" s="178">
        <v>1121</v>
      </c>
      <c r="C125" s="179" t="str">
        <f>IF(ISERROR(VLOOKUP(B125,Data!$F$3:$H$517,3,FALSE)),"N/A",VLOOKUP(B125,Data!$F$3:$H$517,3,FALSE))</f>
        <v>18.a.(1)</v>
      </c>
      <c r="D125" s="194" t="str">
        <f t="shared" si="3"/>
        <v>18</v>
      </c>
      <c r="E125" s="189" t="str">
        <f t="shared" si="4"/>
        <v>a</v>
      </c>
      <c r="F125" s="189" t="str">
        <f t="shared" si="5"/>
        <v>1</v>
      </c>
      <c r="G125" s="180" t="str">
        <f>IF(ISERROR(INDEX(Data!$C$3:$F$517,MATCH('Item IDs'!B125,Data!$F$3:$F$517,0),1)),"NOT ASSIGNED",INDEX(Data!$C$3:$F$517,MATCH('Item IDs'!B125,Data!$F$3:$F$517,0),1))</f>
        <v>(1) Australian dollars (AUD)</v>
      </c>
      <c r="H125" s="180"/>
    </row>
    <row r="126" spans="2:8">
      <c r="B126" s="178">
        <v>1122</v>
      </c>
      <c r="C126" s="179" t="str">
        <f>IF(ISERROR(VLOOKUP(B126,Data!$F$3:$H$517,3,FALSE)),"N/A",VLOOKUP(B126,Data!$F$3:$H$517,3,FALSE))</f>
        <v>18.a.(2)</v>
      </c>
      <c r="D126" s="194" t="str">
        <f t="shared" si="3"/>
        <v>18</v>
      </c>
      <c r="E126" s="189" t="str">
        <f t="shared" si="4"/>
        <v>a</v>
      </c>
      <c r="F126" s="189" t="str">
        <f t="shared" si="5"/>
        <v>2</v>
      </c>
      <c r="G126" s="180" t="str">
        <f>IF(ISERROR(INDEX(Data!$C$3:$F$517,MATCH('Item IDs'!B126,Data!$F$3:$F$517,0),1)),"NOT ASSIGNED",INDEX(Data!$C$3:$F$517,MATCH('Item IDs'!B126,Data!$F$3:$F$517,0),1))</f>
        <v>(2) Brazilian real (BRL)</v>
      </c>
      <c r="H126" s="180"/>
    </row>
    <row r="127" spans="2:8">
      <c r="B127" s="178">
        <v>1123</v>
      </c>
      <c r="C127" s="179" t="str">
        <f>IF(ISERROR(VLOOKUP(B127,Data!$F$3:$H$517,3,FALSE)),"N/A",VLOOKUP(B127,Data!$F$3:$H$517,3,FALSE))</f>
        <v>18.a.(3)</v>
      </c>
      <c r="D127" s="194" t="str">
        <f t="shared" si="3"/>
        <v>18</v>
      </c>
      <c r="E127" s="189" t="str">
        <f t="shared" si="4"/>
        <v>a</v>
      </c>
      <c r="F127" s="189" t="str">
        <f t="shared" si="5"/>
        <v>3</v>
      </c>
      <c r="G127" s="180" t="str">
        <f>IF(ISERROR(INDEX(Data!$C$3:$F$517,MATCH('Item IDs'!B127,Data!$F$3:$F$517,0),1)),"NOT ASSIGNED",INDEX(Data!$C$3:$F$517,MATCH('Item IDs'!B127,Data!$F$3:$F$517,0),1))</f>
        <v>(3) Canadian dollars (CAD)</v>
      </c>
      <c r="H127" s="180"/>
    </row>
    <row r="128" spans="2:8">
      <c r="B128" s="178">
        <v>1124</v>
      </c>
      <c r="C128" s="179" t="str">
        <f>IF(ISERROR(VLOOKUP(B128,Data!$F$3:$H$517,3,FALSE)),"N/A",VLOOKUP(B128,Data!$F$3:$H$517,3,FALSE))</f>
        <v>18.a.(4)</v>
      </c>
      <c r="D128" s="194" t="str">
        <f t="shared" si="3"/>
        <v>18</v>
      </c>
      <c r="E128" s="189" t="str">
        <f t="shared" si="4"/>
        <v>a</v>
      </c>
      <c r="F128" s="189" t="str">
        <f t="shared" si="5"/>
        <v>4</v>
      </c>
      <c r="G128" s="180" t="str">
        <f>IF(ISERROR(INDEX(Data!$C$3:$F$517,MATCH('Item IDs'!B128,Data!$F$3:$F$517,0),1)),"NOT ASSIGNED",INDEX(Data!$C$3:$F$517,MATCH('Item IDs'!B128,Data!$F$3:$F$517,0),1))</f>
        <v>(4) Swiss francs (CHF)</v>
      </c>
      <c r="H128" s="180"/>
    </row>
    <row r="129" spans="2:8">
      <c r="B129" s="178">
        <v>1125</v>
      </c>
      <c r="C129" s="179" t="str">
        <f>IF(ISERROR(VLOOKUP(B129,Data!$F$3:$H$517,3,FALSE)),"N/A",VLOOKUP(B129,Data!$F$3:$H$517,3,FALSE))</f>
        <v>18.a.(5)</v>
      </c>
      <c r="D129" s="194" t="str">
        <f t="shared" si="3"/>
        <v>18</v>
      </c>
      <c r="E129" s="189" t="str">
        <f t="shared" si="4"/>
        <v>a</v>
      </c>
      <c r="F129" s="189" t="str">
        <f t="shared" si="5"/>
        <v>5</v>
      </c>
      <c r="G129" s="180" t="str">
        <f>IF(ISERROR(INDEX(Data!$C$3:$F$517,MATCH('Item IDs'!B129,Data!$F$3:$F$517,0),1)),"NOT ASSIGNED",INDEX(Data!$C$3:$F$517,MATCH('Item IDs'!B129,Data!$F$3:$F$517,0),1))</f>
        <v>(5) Chinese yuan (CNY)</v>
      </c>
      <c r="H129" s="180"/>
    </row>
    <row r="130" spans="2:8">
      <c r="B130" s="178">
        <v>1126</v>
      </c>
      <c r="C130" s="179" t="str">
        <f>IF(ISERROR(VLOOKUP(B130,Data!$F$3:$H$517,3,FALSE)),"N/A",VLOOKUP(B130,Data!$F$3:$H$517,3,FALSE))</f>
        <v>18.a.(6)</v>
      </c>
      <c r="D130" s="194" t="str">
        <f t="shared" si="3"/>
        <v>18</v>
      </c>
      <c r="E130" s="189" t="str">
        <f t="shared" si="4"/>
        <v>a</v>
      </c>
      <c r="F130" s="189" t="str">
        <f t="shared" si="5"/>
        <v>6</v>
      </c>
      <c r="G130" s="180" t="str">
        <f>IF(ISERROR(INDEX(Data!$C$3:$F$517,MATCH('Item IDs'!B130,Data!$F$3:$F$517,0),1)),"NOT ASSIGNED",INDEX(Data!$C$3:$F$517,MATCH('Item IDs'!B130,Data!$F$3:$F$517,0),1))</f>
        <v>(6) Euros (EUR)</v>
      </c>
      <c r="H130" s="180"/>
    </row>
    <row r="131" spans="2:8">
      <c r="B131" s="178">
        <v>1127</v>
      </c>
      <c r="C131" s="179" t="str">
        <f>IF(ISERROR(VLOOKUP(B131,Data!$F$3:$H$517,3,FALSE)),"N/A",VLOOKUP(B131,Data!$F$3:$H$517,3,FALSE))</f>
        <v>18.a.(7)</v>
      </c>
      <c r="D131" s="194" t="str">
        <f t="shared" si="3"/>
        <v>18</v>
      </c>
      <c r="E131" s="189" t="str">
        <f t="shared" si="4"/>
        <v>a</v>
      </c>
      <c r="F131" s="189" t="str">
        <f t="shared" si="5"/>
        <v>7</v>
      </c>
      <c r="G131" s="180" t="str">
        <f>IF(ISERROR(INDEX(Data!$C$3:$F$517,MATCH('Item IDs'!B131,Data!$F$3:$F$517,0),1)),"NOT ASSIGNED",INDEX(Data!$C$3:$F$517,MATCH('Item IDs'!B131,Data!$F$3:$F$517,0),1))</f>
        <v>(7) British pounds (GBP)</v>
      </c>
      <c r="H131" s="180"/>
    </row>
    <row r="132" spans="2:8">
      <c r="B132" s="178">
        <v>1128</v>
      </c>
      <c r="C132" s="179" t="str">
        <f>IF(ISERROR(VLOOKUP(B132,Data!$F$3:$H$517,3,FALSE)),"N/A",VLOOKUP(B132,Data!$F$3:$H$517,3,FALSE))</f>
        <v>18.a.(8)</v>
      </c>
      <c r="D132" s="194" t="str">
        <f t="shared" si="3"/>
        <v>18</v>
      </c>
      <c r="E132" s="189" t="str">
        <f t="shared" si="4"/>
        <v>a</v>
      </c>
      <c r="F132" s="189" t="str">
        <f t="shared" si="5"/>
        <v>8</v>
      </c>
      <c r="G132" s="180" t="str">
        <f>IF(ISERROR(INDEX(Data!$C$3:$F$517,MATCH('Item IDs'!B132,Data!$F$3:$F$517,0),1)),"NOT ASSIGNED",INDEX(Data!$C$3:$F$517,MATCH('Item IDs'!B132,Data!$F$3:$F$517,0),1))</f>
        <v>(8) Hong Kong dollars (HKD)</v>
      </c>
      <c r="H132" s="180"/>
    </row>
    <row r="133" spans="2:8">
      <c r="B133" s="178">
        <v>1129</v>
      </c>
      <c r="C133" s="179" t="str">
        <f>IF(ISERROR(VLOOKUP(B133,Data!$F$3:$H$517,3,FALSE)),"N/A",VLOOKUP(B133,Data!$F$3:$H$517,3,FALSE))</f>
        <v>18.a.(9)</v>
      </c>
      <c r="D133" s="194" t="str">
        <f t="shared" ref="D133:D190" si="6">IF(ISERROR(FIND(".",C133))," ",LEFT(C133,FIND(".",C133)-1))</f>
        <v>18</v>
      </c>
      <c r="E133" s="189" t="str">
        <f t="shared" ref="E133:E190" si="7">IF(ISERROR(FIND(".",C133))," ",LEFT(RIGHT(C133,LEN(C133)-FIND(".",C133)),FIND(".",RIGHT(C133,LEN(C133)-FIND(".",C133)))-1))</f>
        <v>a</v>
      </c>
      <c r="F133" s="194" t="str">
        <f t="shared" ref="F133:F190" si="8">IF(ISERROR(FIND("(",C133))," ",MID(C133,FIND("(",C133)+1,FIND(")",C133)-FIND("(",C133)-1))</f>
        <v>9</v>
      </c>
      <c r="G133" s="180" t="str">
        <f>IF(ISERROR(INDEX(Data!$C$3:$F$517,MATCH('Item IDs'!B133,Data!$F$3:$F$517,0),1)),"NOT ASSIGNED",INDEX(Data!$C$3:$F$517,MATCH('Item IDs'!B133,Data!$F$3:$F$517,0),1))</f>
        <v>(9) Indian rupee (INR)</v>
      </c>
      <c r="H133" s="180"/>
    </row>
    <row r="134" spans="2:8">
      <c r="B134" s="178">
        <v>1130</v>
      </c>
      <c r="C134" s="179" t="str">
        <f>IF(ISERROR(VLOOKUP(B134,Data!$F$3:$H$517,3,FALSE)),"N/A",VLOOKUP(B134,Data!$F$3:$H$517,3,FALSE))</f>
        <v>18.a.(10)</v>
      </c>
      <c r="D134" s="194" t="str">
        <f t="shared" si="6"/>
        <v>18</v>
      </c>
      <c r="E134" s="189" t="str">
        <f t="shared" si="7"/>
        <v>a</v>
      </c>
      <c r="F134" s="194" t="str">
        <f t="shared" si="8"/>
        <v>10</v>
      </c>
      <c r="G134" s="180" t="str">
        <f>IF(ISERROR(INDEX(Data!$C$3:$F$517,MATCH('Item IDs'!B134,Data!$F$3:$F$517,0),1)),"NOT ASSIGNED",INDEX(Data!$C$3:$F$517,MATCH('Item IDs'!B134,Data!$F$3:$F$517,0),1))</f>
        <v>(10) Japanese yen (JPY)</v>
      </c>
      <c r="H134" s="180"/>
    </row>
    <row r="135" spans="2:8">
      <c r="B135" s="178">
        <v>1131</v>
      </c>
      <c r="C135" s="179" t="str">
        <f>IF(ISERROR(VLOOKUP(B135,Data!$F$3:$H$517,3,FALSE)),"N/A",VLOOKUP(B135,Data!$F$3:$H$517,3,FALSE))</f>
        <v>18.a.(11)</v>
      </c>
      <c r="D135" s="194" t="str">
        <f t="shared" si="6"/>
        <v>18</v>
      </c>
      <c r="E135" s="189" t="str">
        <f t="shared" si="7"/>
        <v>a</v>
      </c>
      <c r="F135" s="194" t="str">
        <f t="shared" si="8"/>
        <v>11</v>
      </c>
      <c r="G135" s="180" t="str">
        <f>IF(ISERROR(INDEX(Data!$C$3:$F$517,MATCH('Item IDs'!B135,Data!$F$3:$F$517,0),1)),"NOT ASSIGNED",INDEX(Data!$C$3:$F$517,MATCH('Item IDs'!B135,Data!$F$3:$F$517,0),1))</f>
        <v>(11) Swedish krona (SEK)</v>
      </c>
      <c r="H135" s="180"/>
    </row>
    <row r="136" spans="2:8">
      <c r="B136" s="178">
        <v>1132</v>
      </c>
      <c r="C136" s="179" t="str">
        <f>IF(ISERROR(VLOOKUP(B136,Data!$F$3:$H$517,3,FALSE)),"N/A",VLOOKUP(B136,Data!$F$3:$H$517,3,FALSE))</f>
        <v>18.a.(12)</v>
      </c>
      <c r="D136" s="194" t="str">
        <f t="shared" si="6"/>
        <v>18</v>
      </c>
      <c r="E136" s="189" t="str">
        <f t="shared" si="7"/>
        <v>a</v>
      </c>
      <c r="F136" s="194" t="str">
        <f t="shared" si="8"/>
        <v>12</v>
      </c>
      <c r="G136" s="180" t="str">
        <f>IF(ISERROR(INDEX(Data!$C$3:$F$517,MATCH('Item IDs'!B136,Data!$F$3:$F$517,0),1)),"NOT ASSIGNED",INDEX(Data!$C$3:$F$517,MATCH('Item IDs'!B136,Data!$F$3:$F$517,0),1))</f>
        <v>(12) United States dollars (USD)</v>
      </c>
      <c r="H136" s="180"/>
    </row>
    <row r="137" spans="2:8">
      <c r="B137" s="178">
        <v>1133</v>
      </c>
      <c r="C137" s="179" t="str">
        <f>IF(ISERROR(VLOOKUP(B137,Data!$F$3:$H$517,3,FALSE)),"N/A",VLOOKUP(B137,Data!$F$3:$H$517,3,FALSE))</f>
        <v>18.a.(13)</v>
      </c>
      <c r="D137" s="194" t="str">
        <f t="shared" si="6"/>
        <v>18</v>
      </c>
      <c r="E137" s="189" t="str">
        <f t="shared" si="7"/>
        <v>a</v>
      </c>
      <c r="F137" s="194" t="str">
        <f t="shared" si="8"/>
        <v>13</v>
      </c>
      <c r="G137" s="180" t="str">
        <f>IF(ISERROR(INDEX(Data!$C$3:$F$517,MATCH('Item IDs'!B137,Data!$F$3:$F$517,0),1)),"NOT ASSIGNED",INDEX(Data!$C$3:$F$517,MATCH('Item IDs'!B137,Data!$F$3:$F$517,0),1))</f>
        <v>(13) Mexican pesos (MXN)</v>
      </c>
      <c r="H137" s="180"/>
    </row>
    <row r="138" spans="2:8">
      <c r="B138" s="178">
        <v>1134</v>
      </c>
      <c r="C138" s="179" t="str">
        <f>IF(ISERROR(VLOOKUP(B138,Data!$F$3:$H$517,3,FALSE)),"N/A",VLOOKUP(B138,Data!$F$3:$H$517,3,FALSE))</f>
        <v>18.a.(14)</v>
      </c>
      <c r="D138" s="194" t="str">
        <f t="shared" si="6"/>
        <v>18</v>
      </c>
      <c r="E138" s="189" t="str">
        <f t="shared" si="7"/>
        <v>a</v>
      </c>
      <c r="F138" s="194" t="str">
        <f t="shared" si="8"/>
        <v>14</v>
      </c>
      <c r="G138" s="180" t="str">
        <f>IF(ISERROR(INDEX(Data!$C$3:$F$517,MATCH('Item IDs'!B138,Data!$F$3:$F$517,0),1)),"NOT ASSIGNED",INDEX(Data!$C$3:$F$517,MATCH('Item IDs'!B138,Data!$F$3:$F$517,0),1))</f>
        <v>(14) New Zealand dollars (NZD)</v>
      </c>
      <c r="H138" s="180"/>
    </row>
    <row r="139" spans="2:8">
      <c r="B139" s="178">
        <v>1135</v>
      </c>
      <c r="C139" s="179" t="str">
        <f>IF(ISERROR(VLOOKUP(B139,Data!$F$3:$H$517,3,FALSE)),"N/A",VLOOKUP(B139,Data!$F$3:$H$517,3,FALSE))</f>
        <v>18.a.(15)</v>
      </c>
      <c r="D139" s="194" t="str">
        <f t="shared" si="6"/>
        <v>18</v>
      </c>
      <c r="E139" s="189" t="str">
        <f t="shared" si="7"/>
        <v>a</v>
      </c>
      <c r="F139" s="194" t="str">
        <f t="shared" si="8"/>
        <v>15</v>
      </c>
      <c r="G139" s="180" t="str">
        <f>IF(ISERROR(INDEX(Data!$C$3:$F$517,MATCH('Item IDs'!B139,Data!$F$3:$F$517,0),1)),"NOT ASSIGNED",INDEX(Data!$C$3:$F$517,MATCH('Item IDs'!B139,Data!$F$3:$F$517,0),1))</f>
        <v>(15) Russian rubles (RUB)</v>
      </c>
      <c r="H139" s="180"/>
    </row>
    <row r="140" spans="2:8">
      <c r="B140" s="178">
        <v>1136</v>
      </c>
      <c r="C140" s="179" t="str">
        <f>IF(ISERROR(VLOOKUP(B140,Data!$F$3:$H$517,3,FALSE)),"N/A",VLOOKUP(B140,Data!$F$3:$H$517,3,FALSE))</f>
        <v>18.b.</v>
      </c>
      <c r="D140" s="194" t="str">
        <f t="shared" si="6"/>
        <v>18</v>
      </c>
      <c r="E140" s="189" t="str">
        <f t="shared" si="7"/>
        <v>b</v>
      </c>
      <c r="F140" s="194" t="str">
        <f t="shared" si="8"/>
        <v xml:space="preserve"> </v>
      </c>
      <c r="G140" s="180" t="str">
        <f>IF(ISERROR(INDEX(Data!$C$3:$F$517,MATCH('Item IDs'!B140,Data!$F$3:$F$517,0),1)),"NOT ASSIGNED",INDEX(Data!$C$3:$F$517,MATCH('Item IDs'!B140,Data!$F$3:$F$517,0),1))</f>
        <v>b  Trading volume of securities issued by sovereigns</v>
      </c>
      <c r="H140" s="180"/>
    </row>
    <row r="141" spans="2:8">
      <c r="B141" s="178">
        <v>1137</v>
      </c>
      <c r="C141" s="179" t="str">
        <f>IF(ISERROR(VLOOKUP(B141,Data!$F$3:$H$517,3,FALSE)),"N/A",VLOOKUP(B141,Data!$F$3:$H$517,3,FALSE))</f>
        <v>18.c.</v>
      </c>
      <c r="D141" s="194" t="str">
        <f t="shared" si="6"/>
        <v>18</v>
      </c>
      <c r="E141" s="189" t="str">
        <f t="shared" si="7"/>
        <v>c</v>
      </c>
      <c r="F141" s="194" t="str">
        <f t="shared" si="8"/>
        <v xml:space="preserve"> </v>
      </c>
      <c r="G141" s="180" t="str">
        <f>IF(ISERROR(INDEX(Data!$C$3:$F$517,MATCH('Item IDs'!B141,Data!$F$3:$F$517,0),1)),"NOT ASSIGNED",INDEX(Data!$C$3:$F$517,MATCH('Item IDs'!B141,Data!$F$3:$F$517,0),1))</f>
        <v>c. Trading volume of securities issued by other public sector entities</v>
      </c>
      <c r="H141" s="180"/>
    </row>
    <row r="142" spans="2:8">
      <c r="B142" s="178">
        <v>1138</v>
      </c>
      <c r="C142" s="179" t="str">
        <f>IF(ISERROR(VLOOKUP(B142,Data!$F$3:$H$517,3,FALSE)),"N/A",VLOOKUP(B142,Data!$F$3:$H$517,3,FALSE))</f>
        <v>18.d.</v>
      </c>
      <c r="D142" s="194" t="str">
        <f t="shared" si="6"/>
        <v>18</v>
      </c>
      <c r="E142" s="189" t="str">
        <f t="shared" si="7"/>
        <v>d</v>
      </c>
      <c r="F142" s="194" t="str">
        <f t="shared" si="8"/>
        <v xml:space="preserve"> </v>
      </c>
      <c r="G142" s="180" t="str">
        <f>IF(ISERROR(INDEX(Data!$C$3:$F$517,MATCH('Item IDs'!B142,Data!$F$3:$F$517,0),1)),"NOT ASSIGNED",INDEX(Data!$C$3:$F$517,MATCH('Item IDs'!B142,Data!$F$3:$F$517,0),1))</f>
        <v>d. Trading volume of other fixed income securities</v>
      </c>
      <c r="H142" s="180"/>
    </row>
    <row r="143" spans="2:8">
      <c r="B143" s="178">
        <v>1139</v>
      </c>
      <c r="C143" s="179" t="str">
        <f>IF(ISERROR(VLOOKUP(B143,Data!$F$3:$H$517,3,FALSE)),"N/A",VLOOKUP(B143,Data!$F$3:$H$517,3,FALSE))</f>
        <v>18.e.</v>
      </c>
      <c r="D143" s="194" t="str">
        <f t="shared" si="6"/>
        <v>18</v>
      </c>
      <c r="E143" s="189" t="str">
        <f t="shared" si="7"/>
        <v>e</v>
      </c>
      <c r="F143" s="194" t="str">
        <f t="shared" si="8"/>
        <v xml:space="preserve"> </v>
      </c>
      <c r="G143" s="180" t="str">
        <f>IF(ISERROR(INDEX(Data!$C$3:$F$517,MATCH('Item IDs'!B143,Data!$F$3:$F$517,0),1)),"NOT ASSIGNED",INDEX(Data!$C$3:$F$517,MATCH('Item IDs'!B143,Data!$F$3:$F$517,0),1))</f>
        <v>e. Trading volume of listed equities</v>
      </c>
      <c r="H143" s="180"/>
    </row>
    <row r="144" spans="2:8">
      <c r="B144" s="178">
        <v>1140</v>
      </c>
      <c r="C144" s="179" t="str">
        <f>IF(ISERROR(VLOOKUP(B144,Data!$F$3:$H$517,3,FALSE)),"N/A",VLOOKUP(B144,Data!$F$3:$H$517,3,FALSE))</f>
        <v>18.f.</v>
      </c>
      <c r="D144" s="194" t="str">
        <f t="shared" si="6"/>
        <v>18</v>
      </c>
      <c r="E144" s="189" t="str">
        <f t="shared" si="7"/>
        <v>f</v>
      </c>
      <c r="F144" s="194" t="str">
        <f t="shared" si="8"/>
        <v xml:space="preserve"> </v>
      </c>
      <c r="G144" s="180" t="str">
        <f>IF(ISERROR(INDEX(Data!$C$3:$F$517,MATCH('Item IDs'!B144,Data!$F$3:$F$517,0),1)),"NOT ASSIGNED",INDEX(Data!$C$3:$F$517,MATCH('Item IDs'!B144,Data!$F$3:$F$517,0),1))</f>
        <v>f. Trading volume of all other securities</v>
      </c>
      <c r="H144" s="180"/>
    </row>
    <row r="145" spans="2:8">
      <c r="B145" s="178">
        <v>1141</v>
      </c>
      <c r="C145" s="179" t="str">
        <f>IF(ISERROR(VLOOKUP(B145,Data!$F$3:$H$517,3,FALSE)),"N/A",VLOOKUP(B145,Data!$F$3:$H$517,3,FALSE))</f>
        <v>18.g.</v>
      </c>
      <c r="D145" s="194" t="str">
        <f t="shared" si="6"/>
        <v>18</v>
      </c>
      <c r="E145" s="189" t="str">
        <f t="shared" si="7"/>
        <v>g</v>
      </c>
      <c r="F145" s="194" t="str">
        <f t="shared" si="8"/>
        <v xml:space="preserve"> </v>
      </c>
      <c r="G145" s="180" t="str">
        <f>IF(ISERROR(INDEX(Data!$C$3:$F$517,MATCH('Item IDs'!B145,Data!$F$3:$F$517,0),1)),"NOT ASSIGNED",INDEX(Data!$C$3:$F$517,MATCH('Item IDs'!B145,Data!$F$3:$F$517,0),1))</f>
        <v>g. Initial margin posted to central counterparties (CCPs) on behalf of clients</v>
      </c>
      <c r="H145" s="180"/>
    </row>
    <row r="146" spans="2:8">
      <c r="B146" s="178">
        <v>1142</v>
      </c>
      <c r="C146" s="179" t="str">
        <f>IF(ISERROR(VLOOKUP(B146,Data!$F$3:$H$517,3,FALSE)),"N/A",VLOOKUP(B146,Data!$F$3:$H$517,3,FALSE))</f>
        <v>18.h.</v>
      </c>
      <c r="D146" s="194" t="str">
        <f t="shared" si="6"/>
        <v>18</v>
      </c>
      <c r="E146" s="189" t="str">
        <f t="shared" si="7"/>
        <v>h</v>
      </c>
      <c r="F146" s="194" t="str">
        <f t="shared" si="8"/>
        <v xml:space="preserve"> </v>
      </c>
      <c r="G146" s="180" t="str">
        <f>IF(ISERROR(INDEX(Data!$C$3:$F$517,MATCH('Item IDs'!B146,Data!$F$3:$F$517,0),1)),"NOT ASSIGNED",INDEX(Data!$C$3:$F$517,MATCH('Item IDs'!B146,Data!$F$3:$F$517,0),1))</f>
        <v>h. Initial margin posted to CCPs for the reporting group’s own account</v>
      </c>
      <c r="H146" s="180"/>
    </row>
    <row r="147" spans="2:8">
      <c r="B147" s="178">
        <v>1143</v>
      </c>
      <c r="C147" s="179" t="str">
        <f>IF(ISERROR(VLOOKUP(B147,Data!$F$3:$H$517,3,FALSE)),"N/A",VLOOKUP(B147,Data!$F$3:$H$517,3,FALSE))</f>
        <v>18.i.</v>
      </c>
      <c r="D147" s="194" t="str">
        <f t="shared" si="6"/>
        <v>18</v>
      </c>
      <c r="E147" s="189" t="str">
        <f t="shared" si="7"/>
        <v>i</v>
      </c>
      <c r="F147" s="194" t="str">
        <f t="shared" si="8"/>
        <v xml:space="preserve"> </v>
      </c>
      <c r="G147" s="180" t="str">
        <f>IF(ISERROR(INDEX(Data!$C$3:$F$517,MATCH('Item IDs'!B147,Data!$F$3:$F$517,0),1)),"NOT ASSIGNED",INDEX(Data!$C$3:$F$517,MATCH('Item IDs'!B147,Data!$F$3:$F$517,0),1))</f>
        <v>i. Default fund contributions to CCPs</v>
      </c>
      <c r="H147" s="180"/>
    </row>
    <row r="148" spans="2:8">
      <c r="B148" s="178">
        <v>1144</v>
      </c>
      <c r="C148" s="179" t="str">
        <f>IF(ISERROR(VLOOKUP(B148,Data!$F$3:$H$517,3,FALSE)),"N/A",VLOOKUP(B148,Data!$F$3:$H$517,3,FALSE))</f>
        <v>18.j.</v>
      </c>
      <c r="D148" s="194" t="str">
        <f t="shared" si="6"/>
        <v>18</v>
      </c>
      <c r="E148" s="189" t="str">
        <f t="shared" si="7"/>
        <v>j</v>
      </c>
      <c r="F148" s="194" t="str">
        <f t="shared" si="8"/>
        <v xml:space="preserve"> </v>
      </c>
      <c r="G148" s="180" t="str">
        <f>IF(ISERROR(INDEX(Data!$C$3:$F$517,MATCH('Item IDs'!B148,Data!$F$3:$F$517,0),1)),"NOT ASSIGNED",INDEX(Data!$C$3:$F$517,MATCH('Item IDs'!B148,Data!$F$3:$F$517,0),1))</f>
        <v>j. Other facilities to CCPs</v>
      </c>
      <c r="H148" s="180"/>
    </row>
    <row r="149" spans="2:8">
      <c r="B149" s="178">
        <v>1145</v>
      </c>
      <c r="C149" s="179" t="str">
        <f>IF(ISERROR(VLOOKUP(B149,Data!$F$3:$H$517,3,FALSE)),"N/A",VLOOKUP(B149,Data!$F$3:$H$517,3,FALSE))</f>
        <v>18.k.</v>
      </c>
      <c r="D149" s="194" t="str">
        <f t="shared" si="6"/>
        <v>18</v>
      </c>
      <c r="E149" s="189" t="str">
        <f t="shared" si="7"/>
        <v>k</v>
      </c>
      <c r="F149" s="194" t="str">
        <f t="shared" si="8"/>
        <v xml:space="preserve"> </v>
      </c>
      <c r="G149" s="180" t="str">
        <f>IF(ISERROR(INDEX(Data!$C$3:$F$517,MATCH('Item IDs'!B149,Data!$F$3:$F$517,0),1)),"NOT ASSIGNED",INDEX(Data!$C$3:$F$517,MATCH('Item IDs'!B149,Data!$F$3:$F$517,0),1))</f>
        <v>k. Provision of settlement services in connection with centrally-cleared transactions</v>
      </c>
      <c r="H149" s="180"/>
    </row>
    <row r="150" spans="2:8">
      <c r="B150" s="178">
        <v>1146</v>
      </c>
      <c r="C150" s="179" t="str">
        <f>IF(ISERROR(VLOOKUP(B150,Data!$F$3:$H$517,3,FALSE)),"N/A",VLOOKUP(B150,Data!$F$3:$H$517,3,FALSE))</f>
        <v>20.a.</v>
      </c>
      <c r="D150" s="194" t="str">
        <f t="shared" si="6"/>
        <v>20</v>
      </c>
      <c r="E150" s="189" t="str">
        <f t="shared" si="7"/>
        <v>a</v>
      </c>
      <c r="F150" s="194" t="str">
        <f t="shared" si="8"/>
        <v xml:space="preserve"> </v>
      </c>
      <c r="G150" s="180" t="str">
        <f>IF(ISERROR(INDEX(Data!$C$3:$F$517,MATCH('Item IDs'!B150,Data!$F$3:$F$517,0),1)),"NOT ASSIGNED",INDEX(Data!$C$3:$F$517,MATCH('Item IDs'!B150,Data!$F$3:$F$517,0),1))</f>
        <v>a. Foreign derivative claims on an ultimate risk basis</v>
      </c>
      <c r="H150" s="180"/>
    </row>
    <row r="151" spans="2:8">
      <c r="B151" s="246">
        <v>1147</v>
      </c>
      <c r="C151" s="247" t="s">
        <v>327</v>
      </c>
      <c r="D151" s="248">
        <v>19</v>
      </c>
      <c r="E151" s="249" t="s">
        <v>463</v>
      </c>
      <c r="F151" s="248" t="s">
        <v>464</v>
      </c>
      <c r="G151" s="250" t="s">
        <v>603</v>
      </c>
      <c r="H151" s="250">
        <v>2014</v>
      </c>
    </row>
    <row r="152" spans="2:8">
      <c r="B152" s="178">
        <v>1148</v>
      </c>
      <c r="C152" s="179" t="str">
        <f>IF(ISERROR(VLOOKUP(B152,Data!$F$3:$H$517,3,FALSE)),"N/A",VLOOKUP(B152,Data!$F$3:$H$517,3,FALSE))</f>
        <v>20.b.</v>
      </c>
      <c r="D152" s="194" t="str">
        <f t="shared" si="6"/>
        <v>20</v>
      </c>
      <c r="E152" s="189" t="str">
        <f t="shared" si="7"/>
        <v>b</v>
      </c>
      <c r="F152" s="194" t="str">
        <f t="shared" si="8"/>
        <v xml:space="preserve"> </v>
      </c>
      <c r="G152" s="180" t="str">
        <f>IF(ISERROR(INDEX(Data!$C$3:$F$517,MATCH('Item IDs'!B152,Data!$F$3:$F$517,0),1)),"NOT ASSIGNED",INDEX(Data!$C$3:$F$517,MATCH('Item IDs'!B152,Data!$F$3:$F$517,0),1))</f>
        <v>b. Foreign liabilities on an immediate risk basis (including derivatives)</v>
      </c>
      <c r="H152" s="180"/>
    </row>
    <row r="153" spans="2:8">
      <c r="B153" s="178">
        <v>1149</v>
      </c>
      <c r="C153" s="179" t="str">
        <f>IF(ISERROR(VLOOKUP(B153,Data!$F$3:$H$517,3,FALSE)),"N/A",VLOOKUP(B153,Data!$F$3:$H$517,3,FALSE))</f>
        <v>20.b.(1)</v>
      </c>
      <c r="D153" s="194" t="str">
        <f t="shared" si="6"/>
        <v>20</v>
      </c>
      <c r="E153" s="189" t="str">
        <f t="shared" si="7"/>
        <v>b</v>
      </c>
      <c r="F153" s="194" t="str">
        <f t="shared" si="8"/>
        <v>1</v>
      </c>
      <c r="G153" s="180" t="str">
        <f>IF(ISERROR(INDEX(Data!$C$3:$F$517,MATCH('Item IDs'!B153,Data!$F$3:$F$517,0),1)),"NOT ASSIGNED",INDEX(Data!$C$3:$F$517,MATCH('Item IDs'!B153,Data!$F$3:$F$517,0),1))</f>
        <v>(1) Foreign derivative liabilities on an immediate risk basis</v>
      </c>
      <c r="H153" s="180"/>
    </row>
    <row r="154" spans="2:8">
      <c r="B154" s="246">
        <v>1150</v>
      </c>
      <c r="C154" s="247" t="s">
        <v>604</v>
      </c>
      <c r="D154" s="248" t="s">
        <v>518</v>
      </c>
      <c r="E154" s="249" t="s">
        <v>467</v>
      </c>
      <c r="F154" s="248" t="s">
        <v>464</v>
      </c>
      <c r="G154" s="250" t="s">
        <v>605</v>
      </c>
      <c r="H154" s="250">
        <v>2014</v>
      </c>
    </row>
    <row r="155" spans="2:8">
      <c r="B155" s="246">
        <v>1151</v>
      </c>
      <c r="C155" s="247" t="s">
        <v>279</v>
      </c>
      <c r="D155" s="248" t="s">
        <v>475</v>
      </c>
      <c r="E155" s="249" t="s">
        <v>476</v>
      </c>
      <c r="F155" s="248" t="s">
        <v>464</v>
      </c>
      <c r="G155" s="250" t="s">
        <v>200</v>
      </c>
      <c r="H155" s="250">
        <v>2014</v>
      </c>
    </row>
    <row r="156" spans="2:8">
      <c r="B156" s="246">
        <v>1152</v>
      </c>
      <c r="C156" s="247" t="s">
        <v>280</v>
      </c>
      <c r="D156" s="248" t="s">
        <v>475</v>
      </c>
      <c r="E156" s="249" t="s">
        <v>463</v>
      </c>
      <c r="F156" s="248" t="s">
        <v>464</v>
      </c>
      <c r="G156" s="250" t="s">
        <v>201</v>
      </c>
      <c r="H156" s="250">
        <v>2014</v>
      </c>
    </row>
    <row r="157" spans="2:8">
      <c r="B157" s="246">
        <v>1153</v>
      </c>
      <c r="C157" s="247" t="s">
        <v>281</v>
      </c>
      <c r="D157" s="248" t="s">
        <v>475</v>
      </c>
      <c r="E157" s="249" t="s">
        <v>477</v>
      </c>
      <c r="F157" s="248" t="s">
        <v>464</v>
      </c>
      <c r="G157" s="250" t="s">
        <v>202</v>
      </c>
      <c r="H157" s="250">
        <v>2014</v>
      </c>
    </row>
    <row r="158" spans="2:8">
      <c r="B158" s="246">
        <v>1154</v>
      </c>
      <c r="C158" s="247" t="s">
        <v>282</v>
      </c>
      <c r="D158" s="248" t="s">
        <v>475</v>
      </c>
      <c r="E158" s="249" t="s">
        <v>466</v>
      </c>
      <c r="F158" s="248" t="s">
        <v>464</v>
      </c>
      <c r="G158" s="250" t="s">
        <v>203</v>
      </c>
      <c r="H158" s="250">
        <v>2014</v>
      </c>
    </row>
    <row r="159" spans="2:8">
      <c r="B159" s="246">
        <v>1155</v>
      </c>
      <c r="C159" s="247" t="s">
        <v>283</v>
      </c>
      <c r="D159" s="248" t="s">
        <v>475</v>
      </c>
      <c r="E159" s="249" t="s">
        <v>467</v>
      </c>
      <c r="F159" s="248" t="s">
        <v>464</v>
      </c>
      <c r="G159" s="250" t="s">
        <v>204</v>
      </c>
      <c r="H159" s="250">
        <v>2014</v>
      </c>
    </row>
    <row r="160" spans="2:8">
      <c r="B160" s="246">
        <v>1156</v>
      </c>
      <c r="C160" s="247" t="s">
        <v>284</v>
      </c>
      <c r="D160" s="248" t="s">
        <v>475</v>
      </c>
      <c r="E160" s="249" t="s">
        <v>478</v>
      </c>
      <c r="F160" s="248" t="s">
        <v>464</v>
      </c>
      <c r="G160" s="250" t="s">
        <v>205</v>
      </c>
      <c r="H160" s="250">
        <v>2014</v>
      </c>
    </row>
    <row r="161" spans="2:8">
      <c r="B161" s="246">
        <v>1157</v>
      </c>
      <c r="C161" s="247" t="s">
        <v>285</v>
      </c>
      <c r="D161" s="248" t="s">
        <v>475</v>
      </c>
      <c r="E161" s="249" t="s">
        <v>460</v>
      </c>
      <c r="F161" s="248" t="s">
        <v>464</v>
      </c>
      <c r="G161" s="250" t="s">
        <v>206</v>
      </c>
      <c r="H161" s="250">
        <v>2014</v>
      </c>
    </row>
    <row r="162" spans="2:8">
      <c r="B162" s="246">
        <v>1158</v>
      </c>
      <c r="C162" s="247" t="s">
        <v>286</v>
      </c>
      <c r="D162" s="248" t="s">
        <v>475</v>
      </c>
      <c r="E162" s="249" t="s">
        <v>479</v>
      </c>
      <c r="F162" s="248" t="s">
        <v>464</v>
      </c>
      <c r="G162" s="250" t="s">
        <v>207</v>
      </c>
      <c r="H162" s="250">
        <v>2014</v>
      </c>
    </row>
    <row r="163" spans="2:8">
      <c r="B163" s="246">
        <v>1159</v>
      </c>
      <c r="C163" s="247" t="s">
        <v>287</v>
      </c>
      <c r="D163" s="248" t="s">
        <v>475</v>
      </c>
      <c r="E163" s="249" t="s">
        <v>480</v>
      </c>
      <c r="F163" s="248" t="s">
        <v>464</v>
      </c>
      <c r="G163" s="250" t="s">
        <v>208</v>
      </c>
      <c r="H163" s="250">
        <v>2014</v>
      </c>
    </row>
    <row r="164" spans="2:8">
      <c r="B164" s="246">
        <v>1160</v>
      </c>
      <c r="C164" s="247" t="s">
        <v>288</v>
      </c>
      <c r="D164" s="248" t="s">
        <v>475</v>
      </c>
      <c r="E164" s="249" t="s">
        <v>481</v>
      </c>
      <c r="F164" s="248" t="s">
        <v>464</v>
      </c>
      <c r="G164" s="250" t="s">
        <v>209</v>
      </c>
      <c r="H164" s="250">
        <v>2014</v>
      </c>
    </row>
    <row r="165" spans="2:8">
      <c r="B165" s="246">
        <v>1161</v>
      </c>
      <c r="C165" s="247" t="s">
        <v>289</v>
      </c>
      <c r="D165" s="248" t="s">
        <v>475</v>
      </c>
      <c r="E165" s="249" t="s">
        <v>468</v>
      </c>
      <c r="F165" s="248" t="s">
        <v>464</v>
      </c>
      <c r="G165" s="250" t="s">
        <v>210</v>
      </c>
      <c r="H165" s="250">
        <v>2014</v>
      </c>
    </row>
    <row r="166" spans="2:8">
      <c r="B166" s="246">
        <v>1162</v>
      </c>
      <c r="C166" s="247" t="s">
        <v>290</v>
      </c>
      <c r="D166" s="248" t="s">
        <v>475</v>
      </c>
      <c r="E166" s="249" t="s">
        <v>469</v>
      </c>
      <c r="F166" s="248" t="s">
        <v>464</v>
      </c>
      <c r="G166" s="250" t="s">
        <v>211</v>
      </c>
      <c r="H166" s="250">
        <v>2014</v>
      </c>
    </row>
    <row r="167" spans="2:8">
      <c r="B167" s="246">
        <v>1163</v>
      </c>
      <c r="C167" s="247" t="s">
        <v>291</v>
      </c>
      <c r="D167" s="248" t="s">
        <v>475</v>
      </c>
      <c r="E167" s="249" t="s">
        <v>482</v>
      </c>
      <c r="F167" s="248" t="s">
        <v>464</v>
      </c>
      <c r="G167" s="250" t="s">
        <v>212</v>
      </c>
      <c r="H167" s="250">
        <v>2014</v>
      </c>
    </row>
    <row r="168" spans="2:8">
      <c r="B168" s="246">
        <v>1164</v>
      </c>
      <c r="C168" s="247" t="s">
        <v>292</v>
      </c>
      <c r="D168" s="248" t="s">
        <v>475</v>
      </c>
      <c r="E168" s="249" t="s">
        <v>474</v>
      </c>
      <c r="F168" s="248" t="s">
        <v>464</v>
      </c>
      <c r="G168" s="250" t="s">
        <v>213</v>
      </c>
      <c r="H168" s="250">
        <v>2014</v>
      </c>
    </row>
    <row r="169" spans="2:8">
      <c r="B169" s="246">
        <v>1165</v>
      </c>
      <c r="C169" s="247" t="s">
        <v>293</v>
      </c>
      <c r="D169" s="248" t="s">
        <v>475</v>
      </c>
      <c r="E169" s="249" t="s">
        <v>483</v>
      </c>
      <c r="F169" s="248" t="s">
        <v>464</v>
      </c>
      <c r="G169" s="250" t="s">
        <v>214</v>
      </c>
      <c r="H169" s="250">
        <v>2014</v>
      </c>
    </row>
    <row r="170" spans="2:8">
      <c r="B170" s="178">
        <v>1166</v>
      </c>
      <c r="C170" s="179" t="str">
        <f>IF(ISERROR(VLOOKUP(B170,Data!$F$3:$H$517,3,FALSE)),"N/A",VLOOKUP(B170,Data!$F$3:$H$517,3,FALSE))</f>
        <v>22.a.</v>
      </c>
      <c r="D170" s="194" t="str">
        <f t="shared" si="6"/>
        <v>22</v>
      </c>
      <c r="E170" s="189" t="str">
        <f t="shared" si="7"/>
        <v>a</v>
      </c>
      <c r="F170" s="194" t="str">
        <f t="shared" si="8"/>
        <v xml:space="preserve"> </v>
      </c>
      <c r="G170" s="180" t="str">
        <f>IF(ISERROR(INDEX(Data!$C$3:$F$517,MATCH('Item IDs'!B170,Data!$F$3:$F$517,0),1)),"NOT ASSIGNED",INDEX(Data!$C$3:$F$517,MATCH('Item IDs'!B170,Data!$F$3:$F$517,0),1))</f>
        <v>a. Section 2 - Total exposures indicator</v>
      </c>
      <c r="H170" s="180"/>
    </row>
    <row r="171" spans="2:8">
      <c r="B171" s="178">
        <v>1167</v>
      </c>
      <c r="C171" s="179" t="str">
        <f>IF(ISERROR(VLOOKUP(B171,Data!$F$3:$H$517,3,FALSE)),"N/A",VLOOKUP(B171,Data!$F$3:$H$517,3,FALSE))</f>
        <v>22.b.</v>
      </c>
      <c r="D171" s="194" t="str">
        <f t="shared" si="6"/>
        <v>22</v>
      </c>
      <c r="E171" s="189" t="str">
        <f t="shared" si="7"/>
        <v>b</v>
      </c>
      <c r="F171" s="194" t="str">
        <f t="shared" si="8"/>
        <v xml:space="preserve"> </v>
      </c>
      <c r="G171" s="180" t="str">
        <f>IF(ISERROR(INDEX(Data!$C$3:$F$517,MATCH('Item IDs'!B171,Data!$F$3:$F$517,0),1)),"NOT ASSIGNED",INDEX(Data!$C$3:$F$517,MATCH('Item IDs'!B171,Data!$F$3:$F$517,0),1))</f>
        <v>b. Section 3 - Intra-financial system assets indicator</v>
      </c>
      <c r="H171" s="180"/>
    </row>
    <row r="172" spans="2:8">
      <c r="B172" s="178">
        <v>1168</v>
      </c>
      <c r="C172" s="179" t="str">
        <f>IF(ISERROR(VLOOKUP(B172,Data!$F$3:$H$517,3,FALSE)),"N/A",VLOOKUP(B172,Data!$F$3:$H$517,3,FALSE))</f>
        <v>22.c.</v>
      </c>
      <c r="D172" s="194" t="str">
        <f t="shared" si="6"/>
        <v>22</v>
      </c>
      <c r="E172" s="189" t="str">
        <f t="shared" si="7"/>
        <v>c</v>
      </c>
      <c r="F172" s="194" t="str">
        <f t="shared" si="8"/>
        <v xml:space="preserve"> </v>
      </c>
      <c r="G172" s="180" t="str">
        <f>IF(ISERROR(INDEX(Data!$C$3:$F$517,MATCH('Item IDs'!B172,Data!$F$3:$F$517,0),1)),"NOT ASSIGNED",INDEX(Data!$C$3:$F$517,MATCH('Item IDs'!B172,Data!$F$3:$F$517,0),1))</f>
        <v>c. Section 4 - Intra-financial system liabilities indicator</v>
      </c>
      <c r="H172" s="180"/>
    </row>
    <row r="173" spans="2:8">
      <c r="B173" s="178">
        <v>1169</v>
      </c>
      <c r="C173" s="179" t="str">
        <f>IF(ISERROR(VLOOKUP(B173,Data!$F$3:$H$517,3,FALSE)),"N/A",VLOOKUP(B173,Data!$F$3:$H$517,3,FALSE))</f>
        <v>22.d.</v>
      </c>
      <c r="D173" s="191" t="str">
        <f t="shared" si="6"/>
        <v>22</v>
      </c>
      <c r="E173" s="189" t="str">
        <f t="shared" si="7"/>
        <v>d</v>
      </c>
      <c r="F173" s="189" t="str">
        <f t="shared" si="8"/>
        <v xml:space="preserve"> </v>
      </c>
      <c r="G173" s="180" t="str">
        <f>IF(ISERROR(INDEX(Data!$C$3:$F$517,MATCH('Item IDs'!B173,Data!$F$3:$F$517,0),1)),"NOT ASSIGNED",INDEX(Data!$C$3:$F$517,MATCH('Item IDs'!B173,Data!$F$3:$F$517,0),1))</f>
        <v>d. Section 5 - Securities outstanding indicator</v>
      </c>
      <c r="H173" s="180"/>
    </row>
    <row r="174" spans="2:8">
      <c r="B174" s="178">
        <v>1170</v>
      </c>
      <c r="C174" s="179" t="str">
        <f>IF(ISERROR(VLOOKUP(B174,Data!$F$3:$H$517,3,FALSE)),"N/A",VLOOKUP(B174,Data!$F$3:$H$517,3,FALSE))</f>
        <v>22.e.</v>
      </c>
      <c r="D174" s="191" t="str">
        <f t="shared" si="6"/>
        <v>22</v>
      </c>
      <c r="E174" s="189" t="str">
        <f t="shared" si="7"/>
        <v>e</v>
      </c>
      <c r="F174" s="189" t="str">
        <f t="shared" si="8"/>
        <v xml:space="preserve"> </v>
      </c>
      <c r="G174" s="180" t="str">
        <f>IF(ISERROR(INDEX(Data!$C$3:$F$517,MATCH('Item IDs'!B174,Data!$F$3:$F$517,0),1)),"NOT ASSIGNED",INDEX(Data!$C$3:$F$517,MATCH('Item IDs'!B174,Data!$F$3:$F$517,0),1))</f>
        <v>e. Section 6 - Payments activity indicator</v>
      </c>
      <c r="H174" s="180"/>
    </row>
    <row r="175" spans="2:8">
      <c r="B175" s="178">
        <v>1171</v>
      </c>
      <c r="C175" s="179" t="str">
        <f>IF(ISERROR(VLOOKUP(B175,Data!$F$3:$H$517,3,FALSE)),"N/A",VLOOKUP(B175,Data!$F$3:$H$517,3,FALSE))</f>
        <v>22.f.</v>
      </c>
      <c r="D175" s="191" t="str">
        <f t="shared" si="6"/>
        <v>22</v>
      </c>
      <c r="E175" s="189" t="str">
        <f t="shared" si="7"/>
        <v>f</v>
      </c>
      <c r="F175" s="189" t="str">
        <f t="shared" si="8"/>
        <v xml:space="preserve"> </v>
      </c>
      <c r="G175" s="180" t="str">
        <f>IF(ISERROR(INDEX(Data!$C$3:$F$517,MATCH('Item IDs'!B175,Data!$F$3:$F$517,0),1)),"NOT ASSIGNED",INDEX(Data!$C$3:$F$517,MATCH('Item IDs'!B175,Data!$F$3:$F$517,0),1))</f>
        <v>f. Section 7 - Assets under custody indicator</v>
      </c>
      <c r="H175" s="180"/>
    </row>
    <row r="176" spans="2:8">
      <c r="B176" s="178">
        <v>1172</v>
      </c>
      <c r="C176" s="179" t="str">
        <f>IF(ISERROR(VLOOKUP(B176,Data!$F$3:$H$517,3,FALSE)),"N/A",VLOOKUP(B176,Data!$F$3:$H$517,3,FALSE))</f>
        <v>22.g.</v>
      </c>
      <c r="D176" s="191" t="str">
        <f t="shared" si="6"/>
        <v>22</v>
      </c>
      <c r="E176" s="189" t="str">
        <f t="shared" si="7"/>
        <v>g</v>
      </c>
      <c r="F176" s="189" t="str">
        <f t="shared" si="8"/>
        <v xml:space="preserve"> </v>
      </c>
      <c r="G176" s="180" t="str">
        <f>IF(ISERROR(INDEX(Data!$C$3:$F$517,MATCH('Item IDs'!B176,Data!$F$3:$F$517,0),1)),"NOT ASSIGNED",INDEX(Data!$C$3:$F$517,MATCH('Item IDs'!B176,Data!$F$3:$F$517,0),1))</f>
        <v>g. Section 8 - Underwriting activity indicator</v>
      </c>
      <c r="H176" s="180"/>
    </row>
    <row r="177" spans="2:8">
      <c r="B177" s="178">
        <v>1173</v>
      </c>
      <c r="C177" s="179" t="str">
        <f>IF(ISERROR(VLOOKUP(B177,Data!$F$3:$H$517,3,FALSE)),"N/A",VLOOKUP(B177,Data!$F$3:$H$517,3,FALSE))</f>
        <v>22.h.</v>
      </c>
      <c r="D177" s="191" t="str">
        <f t="shared" si="6"/>
        <v>22</v>
      </c>
      <c r="E177" s="189" t="str">
        <f t="shared" si="7"/>
        <v>h</v>
      </c>
      <c r="F177" s="189" t="str">
        <f t="shared" si="8"/>
        <v xml:space="preserve"> </v>
      </c>
      <c r="G177" s="180" t="str">
        <f>IF(ISERROR(INDEX(Data!$C$3:$F$517,MATCH('Item IDs'!B177,Data!$F$3:$F$517,0),1)),"NOT ASSIGNED",INDEX(Data!$C$3:$F$517,MATCH('Item IDs'!B177,Data!$F$3:$F$517,0),1))</f>
        <v>h. Section 9 - OTC derivatives indicator</v>
      </c>
      <c r="H177" s="180"/>
    </row>
    <row r="178" spans="2:8">
      <c r="B178" s="178">
        <v>1174</v>
      </c>
      <c r="C178" s="179" t="str">
        <f>IF(ISERROR(VLOOKUP(B178,Data!$F$3:$H$517,3,FALSE)),"N/A",VLOOKUP(B178,Data!$F$3:$H$517,3,FALSE))</f>
        <v>22.i.</v>
      </c>
      <c r="D178" s="191" t="str">
        <f t="shared" si="6"/>
        <v>22</v>
      </c>
      <c r="E178" s="189" t="str">
        <f t="shared" si="7"/>
        <v>i</v>
      </c>
      <c r="F178" s="189" t="str">
        <f t="shared" si="8"/>
        <v xml:space="preserve"> </v>
      </c>
      <c r="G178" s="180" t="str">
        <f>IF(ISERROR(INDEX(Data!$C$3:$F$517,MATCH('Item IDs'!B178,Data!$F$3:$F$517,0),1)),"NOT ASSIGNED",INDEX(Data!$C$3:$F$517,MATCH('Item IDs'!B178,Data!$F$3:$F$517,0),1))</f>
        <v>i. Section 10 - Trading and AFS securities indicator</v>
      </c>
      <c r="H178" s="180"/>
    </row>
    <row r="179" spans="2:8">
      <c r="B179" s="178">
        <v>1175</v>
      </c>
      <c r="C179" s="179" t="str">
        <f>IF(ISERROR(VLOOKUP(B179,Data!$F$3:$H$517,3,FALSE)),"N/A",VLOOKUP(B179,Data!$F$3:$H$517,3,FALSE))</f>
        <v>22.j.</v>
      </c>
      <c r="D179" s="191" t="str">
        <f t="shared" si="6"/>
        <v>22</v>
      </c>
      <c r="E179" s="189" t="str">
        <f t="shared" si="7"/>
        <v>j</v>
      </c>
      <c r="F179" s="189" t="str">
        <f t="shared" si="8"/>
        <v xml:space="preserve"> </v>
      </c>
      <c r="G179" s="180" t="str">
        <f>IF(ISERROR(INDEX(Data!$C$3:$F$517,MATCH('Item IDs'!B179,Data!$F$3:$F$517,0),1)),"NOT ASSIGNED",INDEX(Data!$C$3:$F$517,MATCH('Item IDs'!B179,Data!$F$3:$F$517,0),1))</f>
        <v>j. Section 11 - Level 3 assets indicator</v>
      </c>
      <c r="H179" s="180"/>
    </row>
    <row r="180" spans="2:8">
      <c r="B180" s="178">
        <v>1176</v>
      </c>
      <c r="C180" s="179" t="str">
        <f>IF(ISERROR(VLOOKUP(B180,Data!$F$3:$H$517,3,FALSE)),"N/A",VLOOKUP(B180,Data!$F$3:$H$517,3,FALSE))</f>
        <v>22.k.</v>
      </c>
      <c r="D180" s="191" t="str">
        <f t="shared" si="6"/>
        <v>22</v>
      </c>
      <c r="E180" s="189" t="str">
        <f t="shared" si="7"/>
        <v>k</v>
      </c>
      <c r="F180" s="189" t="str">
        <f t="shared" si="8"/>
        <v xml:space="preserve"> </v>
      </c>
      <c r="G180" s="180" t="str">
        <f>IF(ISERROR(INDEX(Data!$C$3:$F$517,MATCH('Item IDs'!B180,Data!$F$3:$F$517,0),1)),"NOT ASSIGNED",INDEX(Data!$C$3:$F$517,MATCH('Item IDs'!B180,Data!$F$3:$F$517,0),1))</f>
        <v>k. Section 12 - Cross-jurisdictional claims indicator</v>
      </c>
      <c r="H180" s="180"/>
    </row>
    <row r="181" spans="2:8">
      <c r="B181" s="178">
        <v>1177</v>
      </c>
      <c r="C181" s="179" t="str">
        <f>IF(ISERROR(VLOOKUP(B181,Data!$F$3:$H$517,3,FALSE)),"N/A",VLOOKUP(B181,Data!$F$3:$H$517,3,FALSE))</f>
        <v>22.l.</v>
      </c>
      <c r="D181" s="191" t="str">
        <f t="shared" si="6"/>
        <v>22</v>
      </c>
      <c r="E181" s="189" t="str">
        <f t="shared" si="7"/>
        <v>l</v>
      </c>
      <c r="F181" s="189" t="str">
        <f t="shared" si="8"/>
        <v xml:space="preserve"> </v>
      </c>
      <c r="G181" s="180" t="str">
        <f>IF(ISERROR(INDEX(Data!$C$3:$F$517,MATCH('Item IDs'!B181,Data!$F$3:$F$517,0),1)),"NOT ASSIGNED",INDEX(Data!$C$3:$F$517,MATCH('Item IDs'!B181,Data!$F$3:$F$517,0),1))</f>
        <v>l. Section 13 - Cross-jurisdictional liabilities indicator</v>
      </c>
      <c r="H181" s="180"/>
    </row>
    <row r="182" spans="2:8">
      <c r="B182" s="178">
        <v>1178</v>
      </c>
      <c r="C182" s="179" t="str">
        <f>IF(ISERROR(VLOOKUP(B182,Data!$F$3:$H$517,3,FALSE)),"N/A",VLOOKUP(B182,Data!$F$3:$H$517,3,FALSE))</f>
        <v>21.a.(1)</v>
      </c>
      <c r="D182" s="191" t="str">
        <f t="shared" si="6"/>
        <v>21</v>
      </c>
      <c r="E182" s="189" t="str">
        <f t="shared" si="7"/>
        <v>a</v>
      </c>
      <c r="F182" s="189" t="str">
        <f t="shared" si="8"/>
        <v>1</v>
      </c>
      <c r="G182" s="180" t="str">
        <f>IF(ISERROR(INDEX(Data!$C$3:$F$517,MATCH('Item IDs'!B182,Data!$F$3:$F$517,0),1)),"NOT ASSIGNED",INDEX(Data!$C$3:$F$517,MATCH('Item IDs'!B182,Data!$F$3:$F$517,0),1))</f>
        <v>(1) Funding backed by Level 1 liquid assets</v>
      </c>
      <c r="H182" s="180"/>
    </row>
    <row r="183" spans="2:8">
      <c r="B183" s="178">
        <v>1179</v>
      </c>
      <c r="C183" s="179" t="str">
        <f>IF(ISERROR(VLOOKUP(B183,Data!$F$3:$H$517,3,FALSE)),"N/A",VLOOKUP(B183,Data!$F$3:$H$517,3,FALSE))</f>
        <v>21.a.(2)</v>
      </c>
      <c r="D183" s="191" t="str">
        <f t="shared" si="6"/>
        <v>21</v>
      </c>
      <c r="E183" s="189" t="str">
        <f t="shared" si="7"/>
        <v>a</v>
      </c>
      <c r="F183" s="189" t="str">
        <f t="shared" si="8"/>
        <v>2</v>
      </c>
      <c r="G183" s="180" t="str">
        <f>IF(ISERROR(INDEX(Data!$C$3:$F$517,MATCH('Item IDs'!B183,Data!$F$3:$F$517,0),1)),"NOT ASSIGNED",INDEX(Data!$C$3:$F$517,MATCH('Item IDs'!B183,Data!$F$3:$F$517,0),1))</f>
        <v>(2) Funding backed by Level 2A liquid assets</v>
      </c>
      <c r="H183" s="180"/>
    </row>
    <row r="184" spans="2:8">
      <c r="B184" s="178">
        <v>1180</v>
      </c>
      <c r="C184" s="179" t="str">
        <f>IF(ISERROR(VLOOKUP(B184,Data!$F$3:$H$517,3,FALSE)),"N/A",VLOOKUP(B184,Data!$F$3:$H$517,3,FALSE))</f>
        <v>21.a.(3)</v>
      </c>
      <c r="D184" s="191" t="str">
        <f t="shared" si="6"/>
        <v>21</v>
      </c>
      <c r="E184" s="189" t="str">
        <f t="shared" si="7"/>
        <v>a</v>
      </c>
      <c r="F184" s="189" t="str">
        <f t="shared" si="8"/>
        <v>3</v>
      </c>
      <c r="G184" s="180" t="str">
        <f>IF(ISERROR(INDEX(Data!$C$3:$F$517,MATCH('Item IDs'!B184,Data!$F$3:$F$517,0),1)),"NOT ASSIGNED",INDEX(Data!$C$3:$F$517,MATCH('Item IDs'!B184,Data!$F$3:$F$517,0),1))</f>
        <v>(3) Funding backed by Level 2B liquid assets</v>
      </c>
      <c r="H184" s="180"/>
    </row>
    <row r="185" spans="2:8">
      <c r="B185" s="178">
        <v>1181</v>
      </c>
      <c r="C185" s="179" t="str">
        <f>IF(ISERROR(VLOOKUP(B185,Data!$F$3:$H$517,3,FALSE)),"N/A",VLOOKUP(B185,Data!$F$3:$H$517,3,FALSE))</f>
        <v>21.a.(4)</v>
      </c>
      <c r="D185" s="191" t="str">
        <f t="shared" si="6"/>
        <v>21</v>
      </c>
      <c r="E185" s="189" t="str">
        <f t="shared" si="7"/>
        <v>a</v>
      </c>
      <c r="F185" s="189" t="str">
        <f t="shared" si="8"/>
        <v>4</v>
      </c>
      <c r="G185" s="180" t="str">
        <f>IF(ISERROR(INDEX(Data!$C$3:$F$517,MATCH('Item IDs'!B185,Data!$F$3:$F$517,0),1)),"NOT ASSIGNED",INDEX(Data!$C$3:$F$517,MATCH('Item IDs'!B185,Data!$F$3:$F$517,0),1))</f>
        <v>(4) Funding backed by non-HQLA</v>
      </c>
      <c r="H185" s="180"/>
    </row>
    <row r="186" spans="2:8">
      <c r="B186" s="178">
        <v>1182</v>
      </c>
      <c r="C186" s="179" t="str">
        <f>IF(ISERROR(VLOOKUP(B186,Data!$F$3:$H$517,3,FALSE)),"N/A",VLOOKUP(B186,Data!$F$3:$H$517,3,FALSE))</f>
        <v>21.a.(5)</v>
      </c>
      <c r="D186" s="191" t="str">
        <f t="shared" si="6"/>
        <v>21</v>
      </c>
      <c r="E186" s="189" t="str">
        <f t="shared" si="7"/>
        <v>a</v>
      </c>
      <c r="F186" s="189" t="str">
        <f t="shared" si="8"/>
        <v>5</v>
      </c>
      <c r="G186" s="180" t="str">
        <f>IF(ISERROR(INDEX(Data!$C$3:$F$517,MATCH('Item IDs'!B186,Data!$F$3:$F$517,0),1)),"NOT ASSIGNED",INDEX(Data!$C$3:$F$517,MATCH('Item IDs'!B186,Data!$F$3:$F$517,0),1))</f>
        <v>(5) ABS, structured financing instruments, ABCP, conduits, SIVs and other such funding activities</v>
      </c>
      <c r="H186" s="180"/>
    </row>
    <row r="187" spans="2:8">
      <c r="B187" s="178">
        <v>1183</v>
      </c>
      <c r="C187" s="179" t="str">
        <f>IF(ISERROR(VLOOKUP(B187,Data!$F$3:$H$517,3,FALSE)),"N/A",VLOOKUP(B187,Data!$F$3:$H$517,3,FALSE))</f>
        <v>21.a.(6)</v>
      </c>
      <c r="D187" s="191" t="str">
        <f t="shared" si="6"/>
        <v>21</v>
      </c>
      <c r="E187" s="189" t="str">
        <f t="shared" si="7"/>
        <v>a</v>
      </c>
      <c r="F187" s="189" t="str">
        <f t="shared" si="8"/>
        <v>6</v>
      </c>
      <c r="G187" s="180" t="str">
        <f>IF(ISERROR(INDEX(Data!$C$3:$F$517,MATCH('Item IDs'!B187,Data!$F$3:$F$517,0),1)),"NOT ASSIGNED",INDEX(Data!$C$3:$F$517,MATCH('Item IDs'!B187,Data!$F$3:$F$517,0),1))</f>
        <v>(6) Collateral swaps</v>
      </c>
      <c r="H187" s="180"/>
    </row>
    <row r="188" spans="2:8">
      <c r="B188" s="178">
        <v>1184</v>
      </c>
      <c r="C188" s="179" t="str">
        <f>IF(ISERROR(VLOOKUP(B188,Data!$F$3:$H$517,3,FALSE)),"N/A",VLOOKUP(B188,Data!$F$3:$H$517,3,FALSE))</f>
        <v>21.b.(1)</v>
      </c>
      <c r="D188" s="191" t="str">
        <f t="shared" si="6"/>
        <v>21</v>
      </c>
      <c r="E188" s="189" t="str">
        <f t="shared" si="7"/>
        <v>b</v>
      </c>
      <c r="F188" s="189" t="str">
        <f t="shared" si="8"/>
        <v>1</v>
      </c>
      <c r="G188" s="180" t="str">
        <f>IF(ISERROR(INDEX(Data!$C$3:$F$517,MATCH('Item IDs'!B188,Data!$F$3:$F$517,0),1)),"NOT ASSIGNED",INDEX(Data!$C$3:$F$517,MATCH('Item IDs'!B188,Data!$F$3:$F$517,0),1))</f>
        <v>(1) Operational deposits from non-financial entities</v>
      </c>
      <c r="H188" s="180"/>
    </row>
    <row r="189" spans="2:8">
      <c r="B189" s="178">
        <v>1185</v>
      </c>
      <c r="C189" s="179" t="str">
        <f>IF(ISERROR(VLOOKUP(B189,Data!$F$3:$H$517,3,FALSE)),"N/A",VLOOKUP(B189,Data!$F$3:$H$517,3,FALSE))</f>
        <v>21.b.(2)</v>
      </c>
      <c r="D189" s="191" t="str">
        <f t="shared" si="6"/>
        <v>21</v>
      </c>
      <c r="E189" s="189" t="str">
        <f t="shared" si="7"/>
        <v>b</v>
      </c>
      <c r="F189" s="189" t="str">
        <f t="shared" si="8"/>
        <v>2</v>
      </c>
      <c r="G189" s="180" t="str">
        <f>IF(ISERROR(INDEX(Data!$C$3:$F$517,MATCH('Item IDs'!B189,Data!$F$3:$F$517,0),1)),"NOT ASSIGNED",INDEX(Data!$C$3:$F$517,MATCH('Item IDs'!B189,Data!$F$3:$F$517,0),1))</f>
        <v>(2) Operational deposits from financial institutions</v>
      </c>
      <c r="H189" s="180"/>
    </row>
    <row r="190" spans="2:8">
      <c r="B190" s="178">
        <v>1186</v>
      </c>
      <c r="C190" s="179" t="str">
        <f>IF(ISERROR(VLOOKUP(B190,Data!$F$3:$H$517,3,FALSE)),"N/A",VLOOKUP(B190,Data!$F$3:$H$517,3,FALSE))</f>
        <v>21.b.(3)</v>
      </c>
      <c r="D190" s="191" t="str">
        <f t="shared" si="6"/>
        <v>21</v>
      </c>
      <c r="E190" s="189" t="str">
        <f t="shared" si="7"/>
        <v>b</v>
      </c>
      <c r="F190" s="189" t="str">
        <f t="shared" si="8"/>
        <v>3</v>
      </c>
      <c r="G190" s="180" t="str">
        <f>IF(ISERROR(INDEX(Data!$C$3:$F$517,MATCH('Item IDs'!B190,Data!$F$3:$F$517,0),1)),"NOT ASSIGNED",INDEX(Data!$C$3:$F$517,MATCH('Item IDs'!B190,Data!$F$3:$F$517,0),1))</f>
        <v>(3) Non-operational deposits from non-financial entities</v>
      </c>
      <c r="H190" s="180"/>
    </row>
    <row r="191" spans="2:8">
      <c r="B191" s="178">
        <v>1187</v>
      </c>
      <c r="C191" s="179" t="str">
        <f>IF(ISERROR(VLOOKUP(B191,Data!$F$3:$H$517,3,FALSE)),"N/A",VLOOKUP(B191,Data!$F$3:$H$517,3,FALSE))</f>
        <v>21.b.(4)</v>
      </c>
      <c r="D191" s="191" t="str">
        <f t="shared" ref="D191:D254" si="9">IF(ISERROR(FIND(".",C191))," ",LEFT(C191,FIND(".",C191)-1))</f>
        <v>21</v>
      </c>
      <c r="E191" s="189" t="str">
        <f t="shared" ref="E191:E254" si="10">IF(ISERROR(FIND(".",C191))," ",LEFT(RIGHT(C191,LEN(C191)-FIND(".",C191)),FIND(".",RIGHT(C191,LEN(C191)-FIND(".",C191)))-1))</f>
        <v>b</v>
      </c>
      <c r="F191" s="189" t="str">
        <f t="shared" ref="F191:F254" si="11">IF(ISERROR(FIND("(",C191))," ",MID(C191,FIND("(",C191)+1,FIND(")",C191)-FIND("(",C191)-1))</f>
        <v>4</v>
      </c>
      <c r="G191" s="180" t="str">
        <f>IF(ISERROR(INDEX(Data!$C$3:$F$517,MATCH('Item IDs'!B191,Data!$F$3:$F$517,0),1)),"NOT ASSIGNED",INDEX(Data!$C$3:$F$517,MATCH('Item IDs'!B191,Data!$F$3:$F$517,0),1))</f>
        <v>(4) Non-operational deposits from financial institutions and unsecured debt issuance</v>
      </c>
      <c r="H191" s="180"/>
    </row>
    <row r="192" spans="2:8">
      <c r="B192" s="178">
        <v>1188</v>
      </c>
      <c r="C192" s="179" t="str">
        <f>IF(ISERROR(VLOOKUP(B192,Data!$F$3:$H$517,3,FALSE)),"N/A",VLOOKUP(B192,Data!$F$3:$H$517,3,FALSE))</f>
        <v>21.c.(1)</v>
      </c>
      <c r="D192" s="191" t="str">
        <f t="shared" si="9"/>
        <v>21</v>
      </c>
      <c r="E192" s="189" t="str">
        <f t="shared" si="10"/>
        <v>c</v>
      </c>
      <c r="F192" s="189" t="str">
        <f t="shared" si="11"/>
        <v>1</v>
      </c>
      <c r="G192" s="180" t="str">
        <f>IF(ISERROR(INDEX(Data!$C$3:$F$517,MATCH('Item IDs'!B192,Data!$F$3:$F$517,0),1)),"NOT ASSIGNED",INDEX(Data!$C$3:$F$517,MATCH('Item IDs'!B192,Data!$F$3:$F$517,0),1))</f>
        <v>(1) Secured funding with a maturity of less than 6 months</v>
      </c>
      <c r="H192" s="180"/>
    </row>
    <row r="193" spans="2:8">
      <c r="B193" s="178">
        <v>1189</v>
      </c>
      <c r="C193" s="179" t="str">
        <f>IF(ISERROR(VLOOKUP(B193,Data!$F$3:$H$517,3,FALSE)),"N/A",VLOOKUP(B193,Data!$F$3:$H$517,3,FALSE))</f>
        <v>21.c.(2)</v>
      </c>
      <c r="D193" s="191" t="str">
        <f t="shared" si="9"/>
        <v>21</v>
      </c>
      <c r="E193" s="189" t="str">
        <f t="shared" si="10"/>
        <v>c</v>
      </c>
      <c r="F193" s="189" t="str">
        <f t="shared" si="11"/>
        <v>2</v>
      </c>
      <c r="G193" s="180" t="str">
        <f>IF(ISERROR(INDEX(Data!$C$3:$F$517,MATCH('Item IDs'!B193,Data!$F$3:$F$517,0),1)),"NOT ASSIGNED",INDEX(Data!$C$3:$F$517,MATCH('Item IDs'!B193,Data!$F$3:$F$517,0),1))</f>
        <v>(2) Secured funding with a maturity of between 6 months and 1 year</v>
      </c>
      <c r="H193" s="180"/>
    </row>
    <row r="194" spans="2:8">
      <c r="B194" s="178">
        <v>1190</v>
      </c>
      <c r="C194" s="179" t="str">
        <f>IF(ISERROR(VLOOKUP(B194,Data!$F$3:$H$517,3,FALSE)),"N/A",VLOOKUP(B194,Data!$F$3:$H$517,3,FALSE))</f>
        <v>21.d.(1)</v>
      </c>
      <c r="D194" s="191" t="str">
        <f t="shared" si="9"/>
        <v>21</v>
      </c>
      <c r="E194" s="189" t="str">
        <f t="shared" si="10"/>
        <v>d</v>
      </c>
      <c r="F194" s="189" t="str">
        <f t="shared" si="11"/>
        <v>1</v>
      </c>
      <c r="G194" s="180" t="str">
        <f>IF(ISERROR(INDEX(Data!$C$3:$F$517,MATCH('Item IDs'!B194,Data!$F$3:$F$517,0),1)),"NOT ASSIGNED",INDEX(Data!$C$3:$F$517,MATCH('Item IDs'!B194,Data!$F$3:$F$517,0),1))</f>
        <v>(1) Operational deposits from non-financial entities</v>
      </c>
      <c r="H194" s="180"/>
    </row>
    <row r="195" spans="2:8">
      <c r="B195" s="178">
        <v>1191</v>
      </c>
      <c r="C195" s="179" t="str">
        <f>IF(ISERROR(VLOOKUP(B195,Data!$F$3:$H$517,3,FALSE)),"N/A",VLOOKUP(B195,Data!$F$3:$H$517,3,FALSE))</f>
        <v>21.d.(2)</v>
      </c>
      <c r="D195" s="191" t="str">
        <f t="shared" si="9"/>
        <v>21</v>
      </c>
      <c r="E195" s="189" t="str">
        <f t="shared" si="10"/>
        <v>d</v>
      </c>
      <c r="F195" s="189" t="str">
        <f t="shared" si="11"/>
        <v>2</v>
      </c>
      <c r="G195" s="180" t="str">
        <f>IF(ISERROR(INDEX(Data!$C$3:$F$517,MATCH('Item IDs'!B195,Data!$F$3:$F$517,0),1)),"NOT ASSIGNED",INDEX(Data!$C$3:$F$517,MATCH('Item IDs'!B195,Data!$F$3:$F$517,0),1))</f>
        <v>(2) Operational deposits from financial institutions</v>
      </c>
      <c r="H195" s="180"/>
    </row>
    <row r="196" spans="2:8">
      <c r="B196" s="178">
        <v>1192</v>
      </c>
      <c r="C196" s="179" t="str">
        <f>IF(ISERROR(VLOOKUP(B196,Data!$F$3:$H$517,3,FALSE)),"N/A",VLOOKUP(B196,Data!$F$3:$H$517,3,FALSE))</f>
        <v>21.d.(3)</v>
      </c>
      <c r="D196" s="191" t="str">
        <f t="shared" si="9"/>
        <v>21</v>
      </c>
      <c r="E196" s="189" t="str">
        <f t="shared" si="10"/>
        <v>d</v>
      </c>
      <c r="F196" s="189" t="str">
        <f t="shared" si="11"/>
        <v>3</v>
      </c>
      <c r="G196" s="180" t="str">
        <f>IF(ISERROR(INDEX(Data!$C$3:$F$517,MATCH('Item IDs'!B196,Data!$F$3:$F$517,0),1)),"NOT ASSIGNED",INDEX(Data!$C$3:$F$517,MATCH('Item IDs'!B196,Data!$F$3:$F$517,0),1))</f>
        <v>(3) Non-operational deposits and non-deposit unsecured funding from non-financial entities</v>
      </c>
      <c r="H196" s="180"/>
    </row>
    <row r="197" spans="2:8">
      <c r="B197" s="178">
        <v>1193</v>
      </c>
      <c r="C197" s="179" t="str">
        <f>IF(ISERROR(VLOOKUP(B197,Data!$F$3:$H$517,3,FALSE)),"N/A",VLOOKUP(B197,Data!$F$3:$H$517,3,FALSE))</f>
        <v>21.d.(4)</v>
      </c>
      <c r="D197" s="191" t="str">
        <f t="shared" si="9"/>
        <v>21</v>
      </c>
      <c r="E197" s="189" t="str">
        <f t="shared" si="10"/>
        <v>d</v>
      </c>
      <c r="F197" s="189" t="str">
        <f t="shared" si="11"/>
        <v>4</v>
      </c>
      <c r="G197" s="180" t="str">
        <f>IF(ISERROR(INDEX(Data!$C$3:$F$517,MATCH('Item IDs'!B197,Data!$F$3:$F$517,0),1)),"NOT ASSIGNED",INDEX(Data!$C$3:$F$517,MATCH('Item IDs'!B197,Data!$F$3:$F$517,0),1))</f>
        <v>(4) Non-operational deposits and other wholesale funding from financial institutions</v>
      </c>
      <c r="H197" s="180"/>
    </row>
    <row r="198" spans="2:8">
      <c r="B198" s="178">
        <v>1194</v>
      </c>
      <c r="C198" s="179" t="str">
        <f>IF(ISERROR(VLOOKUP(B198,Data!$F$3:$H$517,3,FALSE)),"N/A",VLOOKUP(B198,Data!$F$3:$H$517,3,FALSE))</f>
        <v>21.f.(1)</v>
      </c>
      <c r="D198" s="191" t="str">
        <f t="shared" si="9"/>
        <v>21</v>
      </c>
      <c r="E198" s="189" t="str">
        <f t="shared" si="10"/>
        <v>f</v>
      </c>
      <c r="F198" s="189" t="str">
        <f t="shared" si="11"/>
        <v>1</v>
      </c>
      <c r="G198" s="180" t="str">
        <f>IF(ISERROR(INDEX(Data!$C$3:$F$517,MATCH('Item IDs'!B198,Data!$F$3:$F$517,0),1)),"NOT ASSIGNED",INDEX(Data!$C$3:$F$517,MATCH('Item IDs'!B198,Data!$F$3:$F$517,0),1))</f>
        <v>(1) Operational deposits from non-financial entities</v>
      </c>
      <c r="H198" s="180"/>
    </row>
    <row r="199" spans="2:8">
      <c r="B199" s="178">
        <v>1195</v>
      </c>
      <c r="C199" s="179" t="str">
        <f>IF(ISERROR(VLOOKUP(B199,Data!$F$3:$H$517,3,FALSE)),"N/A",VLOOKUP(B199,Data!$F$3:$H$517,3,FALSE))</f>
        <v>21.f.(2)</v>
      </c>
      <c r="D199" s="191" t="str">
        <f t="shared" si="9"/>
        <v>21</v>
      </c>
      <c r="E199" s="189" t="str">
        <f t="shared" si="10"/>
        <v>f</v>
      </c>
      <c r="F199" s="189" t="str">
        <f t="shared" si="11"/>
        <v>2</v>
      </c>
      <c r="G199" s="180" t="str">
        <f>IF(ISERROR(INDEX(Data!$C$3:$F$517,MATCH('Item IDs'!B199,Data!$F$3:$F$517,0),1)),"NOT ASSIGNED",INDEX(Data!$C$3:$F$517,MATCH('Item IDs'!B199,Data!$F$3:$F$517,0),1))</f>
        <v>(2) Operational deposits from financial institutions</v>
      </c>
      <c r="H199" s="180"/>
    </row>
    <row r="200" spans="2:8">
      <c r="B200" s="178">
        <v>1196</v>
      </c>
      <c r="C200" s="179" t="str">
        <f>IF(ISERROR(VLOOKUP(B200,Data!$F$3:$H$517,3,FALSE)),"N/A",VLOOKUP(B200,Data!$F$3:$H$517,3,FALSE))</f>
        <v>21.f.(3)</v>
      </c>
      <c r="D200" s="191" t="str">
        <f t="shared" si="9"/>
        <v>21</v>
      </c>
      <c r="E200" s="189" t="str">
        <f t="shared" si="10"/>
        <v>f</v>
      </c>
      <c r="F200" s="189" t="str">
        <f t="shared" si="11"/>
        <v>3</v>
      </c>
      <c r="G200" s="180" t="str">
        <f>IF(ISERROR(INDEX(Data!$C$3:$F$517,MATCH('Item IDs'!B200,Data!$F$3:$F$517,0),1)),"NOT ASSIGNED",INDEX(Data!$C$3:$F$517,MATCH('Item IDs'!B200,Data!$F$3:$F$517,0),1))</f>
        <v>(3) Non-operational deposits and non-deposit unsecured funding from non-financial entities</v>
      </c>
      <c r="H200" s="180"/>
    </row>
    <row r="201" spans="2:8">
      <c r="B201" s="178">
        <v>1197</v>
      </c>
      <c r="C201" s="179" t="str">
        <f>IF(ISERROR(VLOOKUP(B201,Data!$F$3:$H$517,3,FALSE)),"N/A",VLOOKUP(B201,Data!$F$3:$H$517,3,FALSE))</f>
        <v>21.f.(4)</v>
      </c>
      <c r="D201" s="191" t="str">
        <f t="shared" si="9"/>
        <v>21</v>
      </c>
      <c r="E201" s="189" t="str">
        <f t="shared" si="10"/>
        <v>f</v>
      </c>
      <c r="F201" s="189" t="str">
        <f t="shared" si="11"/>
        <v>4</v>
      </c>
      <c r="G201" s="180" t="str">
        <f>IF(ISERROR(INDEX(Data!$C$3:$F$517,MATCH('Item IDs'!B201,Data!$F$3:$F$517,0),1)),"NOT ASSIGNED",INDEX(Data!$C$3:$F$517,MATCH('Item IDs'!B201,Data!$F$3:$F$517,0),1))</f>
        <v>(4) Non-operational deposits and other wholesale funding from financial institutions</v>
      </c>
      <c r="H201" s="180"/>
    </row>
    <row r="202" spans="2:8">
      <c r="B202" s="246">
        <v>1198</v>
      </c>
      <c r="C202" s="247" t="s">
        <v>327</v>
      </c>
      <c r="D202" s="248" t="s">
        <v>518</v>
      </c>
      <c r="E202" s="249" t="s">
        <v>463</v>
      </c>
      <c r="F202" s="248" t="s">
        <v>464</v>
      </c>
      <c r="G202" s="250" t="s">
        <v>517</v>
      </c>
      <c r="H202" s="250">
        <v>2014</v>
      </c>
    </row>
    <row r="203" spans="2:8">
      <c r="B203" s="258">
        <v>1199</v>
      </c>
      <c r="C203" s="259" t="str">
        <f>IF(ISERROR(VLOOKUP(B203,Data!$F$3:$H$517,3,FALSE)),"N/A",VLOOKUP(B203,Data!$F$3:$H$517,3,FALSE))</f>
        <v>N/A</v>
      </c>
      <c r="D203" s="260" t="str">
        <f t="shared" si="9"/>
        <v xml:space="preserve"> </v>
      </c>
      <c r="E203" s="261" t="str">
        <f t="shared" si="10"/>
        <v xml:space="preserve"> </v>
      </c>
      <c r="F203" s="261" t="str">
        <f t="shared" si="11"/>
        <v xml:space="preserve"> </v>
      </c>
      <c r="G203" s="262" t="s">
        <v>631</v>
      </c>
      <c r="H203" s="262"/>
    </row>
    <row r="204" spans="2:8">
      <c r="B204" s="258">
        <v>1200</v>
      </c>
      <c r="C204" s="259" t="str">
        <f>IF(ISERROR(VLOOKUP(B204,Data!$F$3:$H$517,3,FALSE)),"N/A",VLOOKUP(B204,Data!$F$3:$H$517,3,FALSE))</f>
        <v>N/A</v>
      </c>
      <c r="D204" s="260" t="str">
        <f t="shared" si="9"/>
        <v xml:space="preserve"> </v>
      </c>
      <c r="E204" s="261" t="str">
        <f t="shared" si="10"/>
        <v xml:space="preserve"> </v>
      </c>
      <c r="F204" s="261" t="str">
        <f t="shared" si="11"/>
        <v xml:space="preserve"> </v>
      </c>
      <c r="G204" s="262" t="s">
        <v>631</v>
      </c>
      <c r="H204" s="262"/>
    </row>
    <row r="205" spans="2:8">
      <c r="B205" s="178">
        <v>1201</v>
      </c>
      <c r="C205" s="179" t="str">
        <f>IF(ISERROR(VLOOKUP(B205,Data!$F$3:$H$517,3,FALSE)),"N/A",VLOOKUP(B205,Data!$F$3:$H$517,3,FALSE))</f>
        <v>2.a.(2)</v>
      </c>
      <c r="D205" s="191" t="str">
        <f t="shared" si="9"/>
        <v>2</v>
      </c>
      <c r="E205" s="189" t="str">
        <f t="shared" si="10"/>
        <v>a</v>
      </c>
      <c r="F205" s="189" t="str">
        <f t="shared" si="11"/>
        <v>2</v>
      </c>
      <c r="G205" s="180" t="str">
        <f>IF(ISERROR(INDEX(Data!$C$3:$F$517,MATCH('Item IDs'!B205,Data!$F$3:$F$517,0),1)),"NOT ASSIGNED",INDEX(Data!$C$3:$F$517,MATCH('Item IDs'!B205,Data!$F$3:$F$517,0),1))</f>
        <v>(2) Capped notional amount of credit derivatives</v>
      </c>
      <c r="H205" s="180"/>
    </row>
    <row r="206" spans="2:8">
      <c r="B206" s="178">
        <v>1202</v>
      </c>
      <c r="C206" s="179" t="str">
        <f>IF(ISERROR(VLOOKUP(B206,Data!$F$3:$H$517,3,FALSE)),"N/A",VLOOKUP(B206,Data!$F$3:$H$517,3,FALSE))</f>
        <v>16.a.</v>
      </c>
      <c r="D206" s="191" t="str">
        <f t="shared" si="9"/>
        <v>16</v>
      </c>
      <c r="E206" s="189" t="str">
        <f t="shared" si="10"/>
        <v>a</v>
      </c>
      <c r="F206" s="189" t="str">
        <f t="shared" si="11"/>
        <v xml:space="preserve"> </v>
      </c>
      <c r="G206" s="180" t="str">
        <f>IF(ISERROR(INDEX(Data!$C$3:$F$517,MATCH('Item IDs'!B206,Data!$F$3:$F$517,0),1)),"NOT ASSIGNED",INDEX(Data!$C$3:$F$517,MATCH('Item IDs'!B206,Data!$F$3:$F$517,0),1))</f>
        <v>a. Account value for variable insurance products with minimum guarantees, gross of reinsurance</v>
      </c>
      <c r="H206" s="180"/>
    </row>
    <row r="207" spans="2:8">
      <c r="B207" s="178">
        <v>1203</v>
      </c>
      <c r="C207" s="179" t="str">
        <f>IF(ISERROR(VLOOKUP(B207,Data!$F$3:$H$517,3,FALSE)),"N/A",VLOOKUP(B207,Data!$F$3:$H$517,3,FALSE))</f>
        <v>16.b.</v>
      </c>
      <c r="D207" s="191" t="str">
        <f t="shared" si="9"/>
        <v>16</v>
      </c>
      <c r="E207" s="189" t="str">
        <f t="shared" si="10"/>
        <v>b</v>
      </c>
      <c r="F207" s="189" t="str">
        <f t="shared" si="11"/>
        <v xml:space="preserve"> </v>
      </c>
      <c r="G207" s="180" t="str">
        <f>IF(ISERROR(INDEX(Data!$C$3:$F$517,MATCH('Item IDs'!B207,Data!$F$3:$F$517,0),1)),"NOT ASSIGNED",INDEX(Data!$C$3:$F$517,MATCH('Item IDs'!B207,Data!$F$3:$F$517,0),1))</f>
        <v>b. Account value for variable insurance products with minimum guarantees, net of reinsurance</v>
      </c>
      <c r="H207" s="180"/>
    </row>
    <row r="208" spans="2:8">
      <c r="B208" s="178">
        <v>1204</v>
      </c>
      <c r="C208" s="179" t="str">
        <f>IF(ISERROR(VLOOKUP(B208,Data!$F$3:$H$517,3,FALSE)),"N/A",VLOOKUP(B208,Data!$F$3:$H$517,3,FALSE))</f>
        <v>16.d.(1)</v>
      </c>
      <c r="D208" s="191" t="str">
        <f t="shared" si="9"/>
        <v>16</v>
      </c>
      <c r="E208" s="189" t="str">
        <f t="shared" si="10"/>
        <v>d</v>
      </c>
      <c r="F208" s="189" t="str">
        <f t="shared" si="11"/>
        <v>1</v>
      </c>
      <c r="G208" s="180" t="str">
        <f>IF(ISERROR(INDEX(Data!$C$3:$F$517,MATCH('Item IDs'!B208,Data!$F$3:$F$517,0),1)),"NOT ASSIGNED",INDEX(Data!$C$3:$F$517,MATCH('Item IDs'!B208,Data!$F$3:$F$517,0),1))</f>
        <v>(1) On-balance sheet insurance assets</v>
      </c>
      <c r="H208" s="180"/>
    </row>
    <row r="209" spans="2:8">
      <c r="B209" s="178">
        <v>1205</v>
      </c>
      <c r="C209" s="179" t="str">
        <f>IF(ISERROR(VLOOKUP(B209,Data!$F$3:$H$517,3,FALSE)),"N/A",VLOOKUP(B209,Data!$F$3:$H$517,3,FALSE))</f>
        <v>16.d.(2)</v>
      </c>
      <c r="D209" s="191" t="str">
        <f t="shared" si="9"/>
        <v>16</v>
      </c>
      <c r="E209" s="189" t="str">
        <f t="shared" si="10"/>
        <v>d</v>
      </c>
      <c r="F209" s="189" t="str">
        <f t="shared" si="11"/>
        <v>2</v>
      </c>
      <c r="G209" s="180" t="str">
        <f>IF(ISERROR(INDEX(Data!$C$3:$F$517,MATCH('Item IDs'!B209,Data!$F$3:$F$517,0),1)),"NOT ASSIGNED",INDEX(Data!$C$3:$F$517,MATCH('Item IDs'!B209,Data!$F$3:$F$517,0),1))</f>
        <v>(2) Potential future exposure of derivatives contracts for insurance subsidiaries</v>
      </c>
      <c r="H209" s="180"/>
    </row>
    <row r="210" spans="2:8">
      <c r="B210" s="178">
        <v>1206</v>
      </c>
      <c r="C210" s="179" t="str">
        <f>IF(ISERROR(VLOOKUP(B210,Data!$F$3:$H$517,3,FALSE)),"N/A",VLOOKUP(B210,Data!$F$3:$H$517,3,FALSE))</f>
        <v>16.d.(3)</v>
      </c>
      <c r="D210" s="191" t="str">
        <f t="shared" si="9"/>
        <v>16</v>
      </c>
      <c r="E210" s="189" t="str">
        <f t="shared" si="10"/>
        <v>d</v>
      </c>
      <c r="F210" s="189" t="str">
        <f t="shared" si="11"/>
        <v>3</v>
      </c>
      <c r="G210" s="180" t="str">
        <f>IF(ISERROR(INDEX(Data!$C$3:$F$517,MATCH('Item IDs'!B210,Data!$F$3:$F$517,0),1)),"NOT ASSIGNED",INDEX(Data!$C$3:$F$517,MATCH('Item IDs'!B210,Data!$F$3:$F$517,0),1))</f>
        <v>(3) Unconditionally cancellable commitments for insurance subsidiaries</v>
      </c>
      <c r="H210" s="180"/>
    </row>
    <row r="211" spans="2:8">
      <c r="B211" s="178">
        <v>1207</v>
      </c>
      <c r="C211" s="179" t="str">
        <f>IF(ISERROR(VLOOKUP(B211,Data!$F$3:$H$517,3,FALSE)),"N/A",VLOOKUP(B211,Data!$F$3:$H$517,3,FALSE))</f>
        <v>16.d.(4)</v>
      </c>
      <c r="D211" s="191" t="str">
        <f t="shared" si="9"/>
        <v>16</v>
      </c>
      <c r="E211" s="189" t="str">
        <f t="shared" si="10"/>
        <v>d</v>
      </c>
      <c r="F211" s="189" t="str">
        <f t="shared" si="11"/>
        <v>4</v>
      </c>
      <c r="G211" s="180" t="str">
        <f>IF(ISERROR(INDEX(Data!$C$3:$F$517,MATCH('Item IDs'!B211,Data!$F$3:$F$517,0),1)),"NOT ASSIGNED",INDEX(Data!$C$3:$F$517,MATCH('Item IDs'!B211,Data!$F$3:$F$517,0),1))</f>
        <v>(4) Other off-balance sheet commitments for insurance subsidiaries</v>
      </c>
      <c r="H211" s="180"/>
    </row>
    <row r="212" spans="2:8">
      <c r="B212" s="178">
        <v>1208</v>
      </c>
      <c r="C212" s="179" t="str">
        <f>IF(ISERROR(VLOOKUP(B212,Data!$F$3:$H$517,3,FALSE)),"N/A",VLOOKUP(B212,Data!$F$3:$H$517,3,FALSE))</f>
        <v>16.d.(5)</v>
      </c>
      <c r="D212" s="191" t="str">
        <f t="shared" si="9"/>
        <v>16</v>
      </c>
      <c r="E212" s="189" t="str">
        <f t="shared" si="10"/>
        <v>d</v>
      </c>
      <c r="F212" s="189" t="str">
        <f t="shared" si="11"/>
        <v>5</v>
      </c>
      <c r="G212" s="180" t="str">
        <f>IF(ISERROR(INDEX(Data!$C$3:$F$517,MATCH('Item IDs'!B212,Data!$F$3:$F$517,0),1)),"NOT ASSIGNED",INDEX(Data!$C$3:$F$517,MATCH('Item IDs'!B212,Data!$F$3:$F$517,0),1))</f>
        <v>(5) Investment value in consolidated entities</v>
      </c>
      <c r="H212" s="180"/>
    </row>
    <row r="213" spans="2:8">
      <c r="B213" s="178">
        <v>1209</v>
      </c>
      <c r="C213" s="179" t="str">
        <f>IF(ISERROR(VLOOKUP(B213,Data!$F$3:$H$517,3,FALSE)),"N/A",VLOOKUP(B213,Data!$F$3:$H$517,3,FALSE))</f>
        <v>17.d.</v>
      </c>
      <c r="D213" s="191" t="str">
        <f t="shared" si="9"/>
        <v>17</v>
      </c>
      <c r="E213" s="189" t="str">
        <f t="shared" si="10"/>
        <v>d</v>
      </c>
      <c r="F213" s="189" t="str">
        <f t="shared" si="11"/>
        <v xml:space="preserve"> </v>
      </c>
      <c r="G213" s="180" t="str">
        <f>IF(ISERROR(INDEX(Data!$C$3:$F$517,MATCH('Item IDs'!B213,Data!$F$3:$F$517,0),1)),"NOT ASSIGNED",INDEX(Data!$C$3:$F$517,MATCH('Item IDs'!B213,Data!$F$3:$F$517,0),1))</f>
        <v>d. Interconnectedness with institutions that are strictly securities brokers, assets</v>
      </c>
      <c r="H213" s="180"/>
    </row>
    <row r="214" spans="2:8">
      <c r="B214" s="178">
        <v>1210</v>
      </c>
      <c r="C214" s="179" t="str">
        <f>IF(ISERROR(VLOOKUP(B214,Data!$F$3:$H$517,3,FALSE)),"N/A",VLOOKUP(B214,Data!$F$3:$H$517,3,FALSE))</f>
        <v>17.e.</v>
      </c>
      <c r="D214" s="191" t="str">
        <f t="shared" si="9"/>
        <v>17</v>
      </c>
      <c r="E214" s="189" t="str">
        <f t="shared" si="10"/>
        <v>e</v>
      </c>
      <c r="F214" s="189" t="str">
        <f t="shared" si="11"/>
        <v xml:space="preserve"> </v>
      </c>
      <c r="G214" s="180" t="str">
        <f>IF(ISERROR(INDEX(Data!$C$3:$F$517,MATCH('Item IDs'!B214,Data!$F$3:$F$517,0),1)),"NOT ASSIGNED",INDEX(Data!$C$3:$F$517,MATCH('Item IDs'!B214,Data!$F$3:$F$517,0),1))</f>
        <v>e. Interconnectedness with institutions that are strictly securities brokers, liabilities</v>
      </c>
      <c r="H214" s="180"/>
    </row>
    <row r="215" spans="2:8">
      <c r="B215" s="178">
        <v>1211</v>
      </c>
      <c r="C215" s="179" t="str">
        <f>IF(ISERROR(VLOOKUP(B215,Data!$F$3:$H$517,3,FALSE)),"N/A",VLOOKUP(B215,Data!$F$3:$H$517,3,FALSE))</f>
        <v>17.f.</v>
      </c>
      <c r="D215" s="191" t="str">
        <f t="shared" si="9"/>
        <v>17</v>
      </c>
      <c r="E215" s="189" t="str">
        <f t="shared" si="10"/>
        <v>f</v>
      </c>
      <c r="F215" s="189" t="str">
        <f t="shared" si="11"/>
        <v xml:space="preserve"> </v>
      </c>
      <c r="G215" s="180" t="str">
        <f>IF(ISERROR(INDEX(Data!$C$3:$F$517,MATCH('Item IDs'!B215,Data!$F$3:$F$517,0),1)),"NOT ASSIGNED",INDEX(Data!$C$3:$F$517,MATCH('Item IDs'!B215,Data!$F$3:$F$517,0),1))</f>
        <v>f. Standby letters of credit extended to other financial institutions</v>
      </c>
      <c r="H215" s="180"/>
    </row>
    <row r="216" spans="2:8">
      <c r="B216" s="178">
        <v>1212</v>
      </c>
      <c r="C216" s="179" t="str">
        <f>IF(ISERROR(VLOOKUP(B216,Data!$F$3:$H$517,3,FALSE)),"N/A",VLOOKUP(B216,Data!$F$3:$H$517,3,FALSE))</f>
        <v>17.g.</v>
      </c>
      <c r="D216" s="191" t="str">
        <f t="shared" si="9"/>
        <v>17</v>
      </c>
      <c r="E216" s="189" t="str">
        <f t="shared" si="10"/>
        <v>g</v>
      </c>
      <c r="F216" s="189" t="str">
        <f t="shared" si="11"/>
        <v xml:space="preserve"> </v>
      </c>
      <c r="G216" s="180" t="str">
        <f>IF(ISERROR(INDEX(Data!$C$3:$F$517,MATCH('Item IDs'!B216,Data!$F$3:$F$517,0),1)),"NOT ASSIGNED",INDEX(Data!$C$3:$F$517,MATCH('Item IDs'!B216,Data!$F$3:$F$517,0),1))</f>
        <v>g. Standby letters of credit obtained from other financial institutions</v>
      </c>
      <c r="H216" s="180"/>
    </row>
    <row r="217" spans="2:8">
      <c r="B217" s="178">
        <v>1213</v>
      </c>
      <c r="C217" s="179" t="str">
        <f>IF(ISERROR(VLOOKUP(B217,Data!$F$3:$H$517,3,FALSE)),"N/A",VLOOKUP(B217,Data!$F$3:$H$517,3,FALSE))</f>
        <v>17.h.</v>
      </c>
      <c r="D217" s="191" t="str">
        <f t="shared" si="9"/>
        <v>17</v>
      </c>
      <c r="E217" s="189" t="str">
        <f t="shared" si="10"/>
        <v>h</v>
      </c>
      <c r="F217" s="189" t="str">
        <f t="shared" si="11"/>
        <v xml:space="preserve"> </v>
      </c>
      <c r="G217" s="180" t="str">
        <f>IF(ISERROR(INDEX(Data!$C$3:$F$517,MATCH('Item IDs'!B217,Data!$F$3:$F$517,0),1)),"NOT ASSIGNED",INDEX(Data!$C$3:$F$517,MATCH('Item IDs'!B217,Data!$F$3:$F$517,0),1))</f>
        <v>h. Net positive current exposure of SFTs with other financial institutions (revised definition)</v>
      </c>
      <c r="H217" s="180"/>
    </row>
    <row r="218" spans="2:8">
      <c r="B218" s="178">
        <v>1214</v>
      </c>
      <c r="C218" s="179" t="str">
        <f>IF(ISERROR(VLOOKUP(B218,Data!$F$3:$H$517,3,FALSE)),"N/A",VLOOKUP(B218,Data!$F$3:$H$517,3,FALSE))</f>
        <v>17.i.</v>
      </c>
      <c r="D218" s="191" t="str">
        <f t="shared" si="9"/>
        <v>17</v>
      </c>
      <c r="E218" s="189" t="str">
        <f t="shared" si="10"/>
        <v>i</v>
      </c>
      <c r="F218" s="189" t="str">
        <f t="shared" si="11"/>
        <v xml:space="preserve"> </v>
      </c>
      <c r="G218" s="180" t="str">
        <f>IF(ISERROR(INDEX(Data!$C$3:$F$517,MATCH('Item IDs'!B218,Data!$F$3:$F$517,0),1)),"NOT ASSIGNED",INDEX(Data!$C$3:$F$517,MATCH('Item IDs'!B218,Data!$F$3:$F$517,0),1))</f>
        <v>i. Net negative current exposure of SFTs with other financial institutions (revised definition)</v>
      </c>
      <c r="H218" s="180"/>
    </row>
    <row r="219" spans="2:8">
      <c r="B219" s="178">
        <v>1215</v>
      </c>
      <c r="C219" s="179" t="str">
        <f>IF(ISERROR(VLOOKUP(B219,Data!$F$3:$H$517,3,FALSE)),"N/A",VLOOKUP(B219,Data!$F$3:$H$517,3,FALSE))</f>
        <v>17.j.</v>
      </c>
      <c r="D219" s="191" t="str">
        <f t="shared" si="9"/>
        <v>17</v>
      </c>
      <c r="E219" s="189" t="str">
        <f t="shared" si="10"/>
        <v>j</v>
      </c>
      <c r="F219" s="189" t="str">
        <f t="shared" si="11"/>
        <v xml:space="preserve"> </v>
      </c>
      <c r="G219" s="180" t="str">
        <f>IF(ISERROR(INDEX(Data!$C$3:$F$517,MATCH('Item IDs'!B219,Data!$F$3:$F$517,0),1)),"NOT ASSIGNED",INDEX(Data!$C$3:$F$517,MATCH('Item IDs'!B219,Data!$F$3:$F$517,0),1))</f>
        <v>j. Intra-financial system assets, including insurance subsidiaries</v>
      </c>
      <c r="H219" s="180"/>
    </row>
    <row r="220" spans="2:8">
      <c r="B220" s="178">
        <v>1216</v>
      </c>
      <c r="C220" s="179" t="str">
        <f>IF(ISERROR(VLOOKUP(B220,Data!$F$3:$H$517,3,FALSE)),"N/A",VLOOKUP(B220,Data!$F$3:$H$517,3,FALSE))</f>
        <v>17.j.(1)</v>
      </c>
      <c r="D220" s="191" t="str">
        <f t="shared" si="9"/>
        <v>17</v>
      </c>
      <c r="E220" s="189" t="str">
        <f t="shared" si="10"/>
        <v>j</v>
      </c>
      <c r="F220" s="189" t="str">
        <f t="shared" si="11"/>
        <v>1</v>
      </c>
      <c r="G220" s="180" t="str">
        <f>IF(ISERROR(INDEX(Data!$C$3:$F$517,MATCH('Item IDs'!B220,Data!$F$3:$F$517,0),1)),"NOT ASSIGNED",INDEX(Data!$C$3:$F$517,MATCH('Item IDs'!B220,Data!$F$3:$F$517,0),1))</f>
        <v>(1) Funds deposited with or lent to other financial institutions</v>
      </c>
      <c r="H220" s="180"/>
    </row>
    <row r="221" spans="2:8">
      <c r="B221" s="178">
        <v>1217</v>
      </c>
      <c r="C221" s="179" t="str">
        <f>IF(ISERROR(VLOOKUP(B221,Data!$F$3:$H$517,3,FALSE)),"N/A",VLOOKUP(B221,Data!$F$3:$H$517,3,FALSE))</f>
        <v>17.j.(2)</v>
      </c>
      <c r="D221" s="191" t="str">
        <f t="shared" si="9"/>
        <v>17</v>
      </c>
      <c r="E221" s="189" t="str">
        <f t="shared" si="10"/>
        <v>j</v>
      </c>
      <c r="F221" s="189" t="str">
        <f t="shared" si="11"/>
        <v>2</v>
      </c>
      <c r="G221" s="180" t="str">
        <f>IF(ISERROR(INDEX(Data!$C$3:$F$517,MATCH('Item IDs'!B221,Data!$F$3:$F$517,0),1)),"NOT ASSIGNED",INDEX(Data!$C$3:$F$517,MATCH('Item IDs'!B221,Data!$F$3:$F$517,0),1))</f>
        <v>(2) Unused portion of committed lines extended to other financial institutions</v>
      </c>
      <c r="H221" s="180"/>
    </row>
    <row r="222" spans="2:8">
      <c r="B222" s="178">
        <v>1218</v>
      </c>
      <c r="C222" s="179" t="str">
        <f>IF(ISERROR(VLOOKUP(B222,Data!$F$3:$H$517,3,FALSE)),"N/A",VLOOKUP(B222,Data!$F$3:$H$517,3,FALSE))</f>
        <v>17.j.(3)</v>
      </c>
      <c r="D222" s="191" t="str">
        <f t="shared" si="9"/>
        <v>17</v>
      </c>
      <c r="E222" s="189" t="str">
        <f t="shared" si="10"/>
        <v>j</v>
      </c>
      <c r="F222" s="189" t="str">
        <f t="shared" si="11"/>
        <v>3</v>
      </c>
      <c r="G222" s="180" t="str">
        <f>IF(ISERROR(INDEX(Data!$C$3:$F$517,MATCH('Item IDs'!B222,Data!$F$3:$F$517,0),1)),"NOT ASSIGNED",INDEX(Data!$C$3:$F$517,MATCH('Item IDs'!B222,Data!$F$3:$F$517,0),1))</f>
        <v>(3) Holdings of securities issued by other financial institutions</v>
      </c>
      <c r="H222" s="180"/>
    </row>
    <row r="223" spans="2:8">
      <c r="B223" s="178">
        <v>1219</v>
      </c>
      <c r="C223" s="179" t="str">
        <f>IF(ISERROR(VLOOKUP(B223,Data!$F$3:$H$517,3,FALSE)),"N/A",VLOOKUP(B223,Data!$F$3:$H$517,3,FALSE))</f>
        <v>17.j.(4)</v>
      </c>
      <c r="D223" s="191" t="str">
        <f t="shared" si="9"/>
        <v>17</v>
      </c>
      <c r="E223" s="189" t="str">
        <f t="shared" si="10"/>
        <v>j</v>
      </c>
      <c r="F223" s="189" t="str">
        <f t="shared" si="11"/>
        <v>4</v>
      </c>
      <c r="G223" s="180" t="str">
        <f>IF(ISERROR(INDEX(Data!$C$3:$F$517,MATCH('Item IDs'!B223,Data!$F$3:$F$517,0),1)),"NOT ASSIGNED",INDEX(Data!$C$3:$F$517,MATCH('Item IDs'!B223,Data!$F$3:$F$517,0),1))</f>
        <v>(4) Net positive current exposure of SFTs with other financial institutions</v>
      </c>
      <c r="H223" s="180"/>
    </row>
    <row r="224" spans="2:8">
      <c r="B224" s="178">
        <v>1220</v>
      </c>
      <c r="C224" s="179" t="str">
        <f>IF(ISERROR(VLOOKUP(B224,Data!$F$3:$H$517,3,FALSE)),"N/A",VLOOKUP(B224,Data!$F$3:$H$517,3,FALSE))</f>
        <v>17.j.(5)</v>
      </c>
      <c r="D224" s="191" t="str">
        <f t="shared" si="9"/>
        <v>17</v>
      </c>
      <c r="E224" s="189" t="str">
        <f t="shared" si="10"/>
        <v>j</v>
      </c>
      <c r="F224" s="189" t="str">
        <f t="shared" si="11"/>
        <v>5</v>
      </c>
      <c r="G224" s="180" t="str">
        <f>IF(ISERROR(INDEX(Data!$C$3:$F$517,MATCH('Item IDs'!B224,Data!$F$3:$F$517,0),1)),"NOT ASSIGNED",INDEX(Data!$C$3:$F$517,MATCH('Item IDs'!B224,Data!$F$3:$F$517,0),1))</f>
        <v>(5) OTC derivatives with other financial institutions that have a net positive fair value</v>
      </c>
      <c r="H224" s="180"/>
    </row>
    <row r="225" spans="2:8">
      <c r="B225" s="178">
        <v>1221</v>
      </c>
      <c r="C225" s="179" t="str">
        <f>IF(ISERROR(VLOOKUP(B225,Data!$F$3:$H$517,3,FALSE)),"N/A",VLOOKUP(B225,Data!$F$3:$H$517,3,FALSE))</f>
        <v>17.k.</v>
      </c>
      <c r="D225" s="191" t="str">
        <f t="shared" si="9"/>
        <v>17</v>
      </c>
      <c r="E225" s="189" t="str">
        <f t="shared" si="10"/>
        <v>k</v>
      </c>
      <c r="F225" s="189" t="str">
        <f t="shared" si="11"/>
        <v xml:space="preserve"> </v>
      </c>
      <c r="G225" s="180" t="str">
        <f>IF(ISERROR(INDEX(Data!$C$3:$F$517,MATCH('Item IDs'!B225,Data!$F$3:$F$517,0),1)),"NOT ASSIGNED",INDEX(Data!$C$3:$F$517,MATCH('Item IDs'!B225,Data!$F$3:$F$517,0),1))</f>
        <v>k. Intra-financial system liabilities, including insurance subsidiaries</v>
      </c>
      <c r="H225" s="180"/>
    </row>
    <row r="226" spans="2:8">
      <c r="B226" s="178">
        <v>1222</v>
      </c>
      <c r="C226" s="179" t="str">
        <f>IF(ISERROR(VLOOKUP(B226,Data!$F$3:$H$517,3,FALSE)),"N/A",VLOOKUP(B226,Data!$F$3:$H$517,3,FALSE))</f>
        <v>17.k.(1)</v>
      </c>
      <c r="D226" s="191" t="str">
        <f t="shared" si="9"/>
        <v>17</v>
      </c>
      <c r="E226" s="189" t="str">
        <f t="shared" si="10"/>
        <v>k</v>
      </c>
      <c r="F226" s="189" t="str">
        <f t="shared" si="11"/>
        <v>1</v>
      </c>
      <c r="G226" s="180" t="str">
        <f>IF(ISERROR(INDEX(Data!$C$3:$F$517,MATCH('Item IDs'!B226,Data!$F$3:$F$517,0),1)),"NOT ASSIGNED",INDEX(Data!$C$3:$F$517,MATCH('Item IDs'!B226,Data!$F$3:$F$517,0),1))</f>
        <v>(1) Funds deposited by or borrowed from other financial institutions</v>
      </c>
      <c r="H226" s="180"/>
    </row>
    <row r="227" spans="2:8">
      <c r="B227" s="178">
        <v>1223</v>
      </c>
      <c r="C227" s="179" t="str">
        <f>IF(ISERROR(VLOOKUP(B227,Data!$F$3:$H$517,3,FALSE)),"N/A",VLOOKUP(B227,Data!$F$3:$H$517,3,FALSE))</f>
        <v>17.k.(2)</v>
      </c>
      <c r="D227" s="191" t="str">
        <f t="shared" si="9"/>
        <v>17</v>
      </c>
      <c r="E227" s="189" t="str">
        <f t="shared" si="10"/>
        <v>k</v>
      </c>
      <c r="F227" s="189" t="str">
        <f t="shared" si="11"/>
        <v>2</v>
      </c>
      <c r="G227" s="180" t="str">
        <f>IF(ISERROR(INDEX(Data!$C$3:$F$517,MATCH('Item IDs'!B227,Data!$F$3:$F$517,0),1)),"NOT ASSIGNED",INDEX(Data!$C$3:$F$517,MATCH('Item IDs'!B227,Data!$F$3:$F$517,0),1))</f>
        <v>(2) Unused portion of committed lines obtained from other financial institutions</v>
      </c>
      <c r="H227" s="180"/>
    </row>
    <row r="228" spans="2:8">
      <c r="B228" s="178">
        <v>1224</v>
      </c>
      <c r="C228" s="179" t="str">
        <f>IF(ISERROR(VLOOKUP(B228,Data!$F$3:$H$517,3,FALSE)),"N/A",VLOOKUP(B228,Data!$F$3:$H$517,3,FALSE))</f>
        <v>17.k.(3)</v>
      </c>
      <c r="D228" s="191" t="str">
        <f t="shared" si="9"/>
        <v>17</v>
      </c>
      <c r="E228" s="189" t="str">
        <f t="shared" si="10"/>
        <v>k</v>
      </c>
      <c r="F228" s="189" t="str">
        <f t="shared" si="11"/>
        <v>3</v>
      </c>
      <c r="G228" s="180" t="str">
        <f>IF(ISERROR(INDEX(Data!$C$3:$F$517,MATCH('Item IDs'!B228,Data!$F$3:$F$517,0),1)),"NOT ASSIGNED",INDEX(Data!$C$3:$F$517,MATCH('Item IDs'!B228,Data!$F$3:$F$517,0),1))</f>
        <v>(3) Net negative current exposure of SFTs with other financial institutions</v>
      </c>
      <c r="H228" s="180"/>
    </row>
    <row r="229" spans="2:8">
      <c r="B229" s="178">
        <v>1225</v>
      </c>
      <c r="C229" s="179" t="str">
        <f>IF(ISERROR(VLOOKUP(B229,Data!$F$3:$H$517,3,FALSE)),"N/A",VLOOKUP(B229,Data!$F$3:$H$517,3,FALSE))</f>
        <v>17.k.(4)</v>
      </c>
      <c r="D229" s="191" t="str">
        <f t="shared" si="9"/>
        <v>17</v>
      </c>
      <c r="E229" s="189" t="str">
        <f t="shared" si="10"/>
        <v>k</v>
      </c>
      <c r="F229" s="189" t="str">
        <f t="shared" si="11"/>
        <v>4</v>
      </c>
      <c r="G229" s="180" t="str">
        <f>IF(ISERROR(INDEX(Data!$C$3:$F$517,MATCH('Item IDs'!B229,Data!$F$3:$F$517,0),1)),"NOT ASSIGNED",INDEX(Data!$C$3:$F$517,MATCH('Item IDs'!B229,Data!$F$3:$F$517,0),1))</f>
        <v>(4) OTC derivatives with other financial institutions that have a net negative fair value</v>
      </c>
      <c r="H229" s="180"/>
    </row>
    <row r="230" spans="2:8">
      <c r="B230" s="178">
        <v>1226</v>
      </c>
      <c r="C230" s="179" t="str">
        <f>IF(ISERROR(VLOOKUP(B230,Data!$F$3:$H$517,3,FALSE)),"N/A",VLOOKUP(B230,Data!$F$3:$H$517,3,FALSE))</f>
        <v>17.l.</v>
      </c>
      <c r="D230" s="191" t="str">
        <f t="shared" si="9"/>
        <v>17</v>
      </c>
      <c r="E230" s="189" t="str">
        <f t="shared" si="10"/>
        <v>l</v>
      </c>
      <c r="F230" s="189" t="str">
        <f t="shared" si="11"/>
        <v xml:space="preserve"> </v>
      </c>
      <c r="G230" s="180" t="str">
        <f>IF(ISERROR(INDEX(Data!$C$3:$F$517,MATCH('Item IDs'!B230,Data!$F$3:$F$517,0),1)),"NOT ASSIGNED",INDEX(Data!$C$3:$F$517,MATCH('Item IDs'!B230,Data!$F$3:$F$517,0),1))</f>
        <v>l. Securities outstanding, including the securities issued by insurance subsidiaries</v>
      </c>
      <c r="H230" s="180"/>
    </row>
    <row r="231" spans="2:8">
      <c r="B231" s="178">
        <v>1227</v>
      </c>
      <c r="C231" s="179" t="str">
        <f>IF(ISERROR(VLOOKUP(B231,Data!$F$3:$H$517,3,FALSE)),"N/A",VLOOKUP(B231,Data!$F$3:$H$517,3,FALSE))</f>
        <v>19.a.</v>
      </c>
      <c r="D231" s="191" t="str">
        <f t="shared" si="9"/>
        <v>19</v>
      </c>
      <c r="E231" s="189" t="str">
        <f t="shared" si="10"/>
        <v>a</v>
      </c>
      <c r="F231" s="189" t="str">
        <f t="shared" si="11"/>
        <v xml:space="preserve"> </v>
      </c>
      <c r="G231" s="180" t="str">
        <f>IF(ISERROR(INDEX(Data!$C$3:$F$517,MATCH('Item IDs'!B231,Data!$F$3:$F$517,0),1)),"NOT ASSIGNED",INDEX(Data!$C$3:$F$517,MATCH('Item IDs'!B231,Data!$F$3:$F$517,0),1))</f>
        <v>a. Notional amount of over-the-counter (OTC) derivatives, including insurance subsidiaries</v>
      </c>
      <c r="H231" s="180"/>
    </row>
    <row r="232" spans="2:8">
      <c r="B232" s="178">
        <v>1228</v>
      </c>
      <c r="C232" s="179" t="str">
        <f>IF(ISERROR(VLOOKUP(B232,Data!$F$3:$H$517,3,FALSE)),"N/A",VLOOKUP(B232,Data!$F$3:$H$517,3,FALSE))</f>
        <v>19.b.</v>
      </c>
      <c r="D232" s="191" t="str">
        <f t="shared" si="9"/>
        <v>19</v>
      </c>
      <c r="E232" s="189" t="str">
        <f t="shared" si="10"/>
        <v>b</v>
      </c>
      <c r="F232" s="189" t="str">
        <f t="shared" si="11"/>
        <v xml:space="preserve"> </v>
      </c>
      <c r="G232" s="180" t="str">
        <f>IF(ISERROR(INDEX(Data!$C$3:$F$517,MATCH('Item IDs'!B232,Data!$F$3:$F$517,0),1)),"NOT ASSIGNED",INDEX(Data!$C$3:$F$517,MATCH('Item IDs'!B232,Data!$F$3:$F$517,0),1))</f>
        <v>b. Trading and available-for-sale (AFS) securities, including insurance subsidiaries</v>
      </c>
      <c r="H232" s="180"/>
    </row>
    <row r="233" spans="2:8">
      <c r="B233" s="178">
        <v>1229</v>
      </c>
      <c r="C233" s="179" t="str">
        <f>IF(ISERROR(VLOOKUP(B233,Data!$F$3:$H$517,3,FALSE)),"N/A",VLOOKUP(B233,Data!$F$3:$H$517,3,FALSE))</f>
        <v>19.c.</v>
      </c>
      <c r="D233" s="191" t="str">
        <f t="shared" si="9"/>
        <v>19</v>
      </c>
      <c r="E233" s="189" t="str">
        <f t="shared" si="10"/>
        <v>c</v>
      </c>
      <c r="F233" s="189" t="str">
        <f t="shared" si="11"/>
        <v xml:space="preserve"> </v>
      </c>
      <c r="G233" s="180" t="str">
        <f>IF(ISERROR(INDEX(Data!$C$3:$F$517,MATCH('Item IDs'!B233,Data!$F$3:$F$517,0),1)),"NOT ASSIGNED",INDEX(Data!$C$3:$F$517,MATCH('Item IDs'!B233,Data!$F$3:$F$517,0),1))</f>
        <v>c. Level 3 assets, including insurance subsidiaries</v>
      </c>
      <c r="H233" s="180"/>
    </row>
    <row r="234" spans="2:8">
      <c r="B234" s="178">
        <v>1230</v>
      </c>
      <c r="C234" s="179" t="str">
        <f>IF(ISERROR(VLOOKUP(B234,Data!$F$3:$H$517,3,FALSE)),"N/A",VLOOKUP(B234,Data!$F$3:$H$517,3,FALSE))</f>
        <v>N/A</v>
      </c>
      <c r="D234" s="191" t="str">
        <f t="shared" si="9"/>
        <v xml:space="preserve"> </v>
      </c>
      <c r="E234" s="189" t="str">
        <f t="shared" si="10"/>
        <v xml:space="preserve"> </v>
      </c>
      <c r="F234" s="189" t="str">
        <f t="shared" si="11"/>
        <v xml:space="preserve"> </v>
      </c>
      <c r="G234" s="180" t="str">
        <f>IF(ISERROR(INDEX(Data!$C$3:$F$517,MATCH('Item IDs'!B234,Data!$F$3:$F$517,0),1)),"NOT ASSIGNED",INDEX(Data!$C$3:$F$517,MATCH('Item IDs'!B234,Data!$F$3:$F$517,0),1))</f>
        <v>NOT ASSIGNED</v>
      </c>
      <c r="H234" s="180"/>
    </row>
    <row r="235" spans="2:8">
      <c r="B235" s="178">
        <v>1231</v>
      </c>
      <c r="C235" s="179" t="str">
        <f>IF(ISERROR(VLOOKUP(B235,Data!$F$3:$H$517,3,FALSE)),"N/A",VLOOKUP(B235,Data!$F$3:$H$517,3,FALSE))</f>
        <v>N/A</v>
      </c>
      <c r="D235" s="191" t="str">
        <f t="shared" si="9"/>
        <v xml:space="preserve"> </v>
      </c>
      <c r="E235" s="189" t="str">
        <f t="shared" si="10"/>
        <v xml:space="preserve"> </v>
      </c>
      <c r="F235" s="189" t="str">
        <f t="shared" si="11"/>
        <v xml:space="preserve"> </v>
      </c>
      <c r="G235" s="180" t="str">
        <f>IF(ISERROR(INDEX(Data!$C$3:$F$517,MATCH('Item IDs'!B235,Data!$F$3:$F$517,0),1)),"NOT ASSIGNED",INDEX(Data!$C$3:$F$517,MATCH('Item IDs'!B235,Data!$F$3:$F$517,0),1))</f>
        <v>NOT ASSIGNED</v>
      </c>
      <c r="H235" s="180"/>
    </row>
    <row r="236" spans="2:8">
      <c r="B236" s="178">
        <v>1232</v>
      </c>
      <c r="C236" s="179" t="str">
        <f>IF(ISERROR(VLOOKUP(B236,Data!$F$3:$H$517,3,FALSE)),"N/A",VLOOKUP(B236,Data!$F$3:$H$517,3,FALSE))</f>
        <v>N/A</v>
      </c>
      <c r="D236" s="191" t="str">
        <f t="shared" si="9"/>
        <v xml:space="preserve"> </v>
      </c>
      <c r="E236" s="189" t="str">
        <f t="shared" si="10"/>
        <v xml:space="preserve"> </v>
      </c>
      <c r="F236" s="189" t="str">
        <f t="shared" si="11"/>
        <v xml:space="preserve"> </v>
      </c>
      <c r="G236" s="180" t="str">
        <f>IF(ISERROR(INDEX(Data!$C$3:$F$517,MATCH('Item IDs'!B236,Data!$F$3:$F$517,0),1)),"NOT ASSIGNED",INDEX(Data!$C$3:$F$517,MATCH('Item IDs'!B236,Data!$F$3:$F$517,0),1))</f>
        <v>NOT ASSIGNED</v>
      </c>
      <c r="H236" s="180"/>
    </row>
    <row r="237" spans="2:8">
      <c r="B237" s="178">
        <v>1233</v>
      </c>
      <c r="C237" s="179" t="str">
        <f>IF(ISERROR(VLOOKUP(B237,Data!$F$3:$H$517,3,FALSE)),"N/A",VLOOKUP(B237,Data!$F$3:$H$517,3,FALSE))</f>
        <v>N/A</v>
      </c>
      <c r="D237" s="191" t="str">
        <f t="shared" si="9"/>
        <v xml:space="preserve"> </v>
      </c>
      <c r="E237" s="189" t="str">
        <f t="shared" si="10"/>
        <v xml:space="preserve"> </v>
      </c>
      <c r="F237" s="189" t="str">
        <f t="shared" si="11"/>
        <v xml:space="preserve"> </v>
      </c>
      <c r="G237" s="180" t="str">
        <f>IF(ISERROR(INDEX(Data!$C$3:$F$517,MATCH('Item IDs'!B237,Data!$F$3:$F$517,0),1)),"NOT ASSIGNED",INDEX(Data!$C$3:$F$517,MATCH('Item IDs'!B237,Data!$F$3:$F$517,0),1))</f>
        <v>NOT ASSIGNED</v>
      </c>
      <c r="H237" s="180"/>
    </row>
    <row r="238" spans="2:8">
      <c r="B238" s="178">
        <v>1234</v>
      </c>
      <c r="C238" s="179" t="str">
        <f>IF(ISERROR(VLOOKUP(B238,Data!$F$3:$H$517,3,FALSE)),"N/A",VLOOKUP(B238,Data!$F$3:$H$517,3,FALSE))</f>
        <v>N/A</v>
      </c>
      <c r="D238" s="191" t="str">
        <f t="shared" si="9"/>
        <v xml:space="preserve"> </v>
      </c>
      <c r="E238" s="189" t="str">
        <f t="shared" si="10"/>
        <v xml:space="preserve"> </v>
      </c>
      <c r="F238" s="189" t="str">
        <f t="shared" si="11"/>
        <v xml:space="preserve"> </v>
      </c>
      <c r="G238" s="180" t="str">
        <f>IF(ISERROR(INDEX(Data!$C$3:$F$517,MATCH('Item IDs'!B238,Data!$F$3:$F$517,0),1)),"NOT ASSIGNED",INDEX(Data!$C$3:$F$517,MATCH('Item IDs'!B238,Data!$F$3:$F$517,0),1))</f>
        <v>NOT ASSIGNED</v>
      </c>
      <c r="H238" s="180"/>
    </row>
    <row r="239" spans="2:8">
      <c r="B239" s="178">
        <v>1235</v>
      </c>
      <c r="C239" s="179" t="str">
        <f>IF(ISERROR(VLOOKUP(B239,Data!$F$3:$H$517,3,FALSE)),"N/A",VLOOKUP(B239,Data!$F$3:$H$517,3,FALSE))</f>
        <v>N/A</v>
      </c>
      <c r="D239" s="191" t="str">
        <f t="shared" si="9"/>
        <v xml:space="preserve"> </v>
      </c>
      <c r="E239" s="189" t="str">
        <f t="shared" si="10"/>
        <v xml:space="preserve"> </v>
      </c>
      <c r="F239" s="189" t="str">
        <f t="shared" si="11"/>
        <v xml:space="preserve"> </v>
      </c>
      <c r="G239" s="180" t="str">
        <f>IF(ISERROR(INDEX(Data!$C$3:$F$517,MATCH('Item IDs'!B239,Data!$F$3:$F$517,0),1)),"NOT ASSIGNED",INDEX(Data!$C$3:$F$517,MATCH('Item IDs'!B239,Data!$F$3:$F$517,0),1))</f>
        <v>NOT ASSIGNED</v>
      </c>
      <c r="H239" s="180"/>
    </row>
    <row r="240" spans="2:8">
      <c r="B240" s="178">
        <v>1236</v>
      </c>
      <c r="C240" s="179" t="str">
        <f>IF(ISERROR(VLOOKUP(B240,Data!$F$3:$H$517,3,FALSE)),"N/A",VLOOKUP(B240,Data!$F$3:$H$517,3,FALSE))</f>
        <v>N/A</v>
      </c>
      <c r="D240" s="191" t="str">
        <f t="shared" si="9"/>
        <v xml:space="preserve"> </v>
      </c>
      <c r="E240" s="189" t="str">
        <f t="shared" si="10"/>
        <v xml:space="preserve"> </v>
      </c>
      <c r="F240" s="189" t="str">
        <f t="shared" si="11"/>
        <v xml:space="preserve"> </v>
      </c>
      <c r="G240" s="180" t="str">
        <f>IF(ISERROR(INDEX(Data!$C$3:$F$517,MATCH('Item IDs'!B240,Data!$F$3:$F$517,0),1)),"NOT ASSIGNED",INDEX(Data!$C$3:$F$517,MATCH('Item IDs'!B240,Data!$F$3:$F$517,0),1))</f>
        <v>NOT ASSIGNED</v>
      </c>
      <c r="H240" s="180"/>
    </row>
    <row r="241" spans="2:8">
      <c r="B241" s="178">
        <v>1237</v>
      </c>
      <c r="C241" s="179" t="str">
        <f>IF(ISERROR(VLOOKUP(B241,Data!$F$3:$H$517,3,FALSE)),"N/A",VLOOKUP(B241,Data!$F$3:$H$517,3,FALSE))</f>
        <v>N/A</v>
      </c>
      <c r="D241" s="191" t="str">
        <f t="shared" si="9"/>
        <v xml:space="preserve"> </v>
      </c>
      <c r="E241" s="189" t="str">
        <f t="shared" si="10"/>
        <v xml:space="preserve"> </v>
      </c>
      <c r="F241" s="189" t="str">
        <f t="shared" si="11"/>
        <v xml:space="preserve"> </v>
      </c>
      <c r="G241" s="180" t="str">
        <f>IF(ISERROR(INDEX(Data!$C$3:$F$517,MATCH('Item IDs'!B241,Data!$F$3:$F$517,0),1)),"NOT ASSIGNED",INDEX(Data!$C$3:$F$517,MATCH('Item IDs'!B241,Data!$F$3:$F$517,0),1))</f>
        <v>NOT ASSIGNED</v>
      </c>
      <c r="H241" s="180"/>
    </row>
    <row r="242" spans="2:8">
      <c r="B242" s="178">
        <v>1238</v>
      </c>
      <c r="C242" s="179" t="str">
        <f>IF(ISERROR(VLOOKUP(B242,Data!$F$3:$H$517,3,FALSE)),"N/A",VLOOKUP(B242,Data!$F$3:$H$517,3,FALSE))</f>
        <v>N/A</v>
      </c>
      <c r="D242" s="191" t="str">
        <f t="shared" si="9"/>
        <v xml:space="preserve"> </v>
      </c>
      <c r="E242" s="189" t="str">
        <f t="shared" si="10"/>
        <v xml:space="preserve"> </v>
      </c>
      <c r="F242" s="189" t="str">
        <f t="shared" si="11"/>
        <v xml:space="preserve"> </v>
      </c>
      <c r="G242" s="180" t="str">
        <f>IF(ISERROR(INDEX(Data!$C$3:$F$517,MATCH('Item IDs'!B242,Data!$F$3:$F$517,0),1)),"NOT ASSIGNED",INDEX(Data!$C$3:$F$517,MATCH('Item IDs'!B242,Data!$F$3:$F$517,0),1))</f>
        <v>NOT ASSIGNED</v>
      </c>
      <c r="H242" s="180"/>
    </row>
    <row r="243" spans="2:8">
      <c r="B243" s="178">
        <v>1239</v>
      </c>
      <c r="C243" s="179" t="str">
        <f>IF(ISERROR(VLOOKUP(B243,Data!$F$3:$H$517,3,FALSE)),"N/A",VLOOKUP(B243,Data!$F$3:$H$517,3,FALSE))</f>
        <v>N/A</v>
      </c>
      <c r="D243" s="191" t="str">
        <f t="shared" si="9"/>
        <v xml:space="preserve"> </v>
      </c>
      <c r="E243" s="189" t="str">
        <f t="shared" si="10"/>
        <v xml:space="preserve"> </v>
      </c>
      <c r="F243" s="189" t="str">
        <f t="shared" si="11"/>
        <v xml:space="preserve"> </v>
      </c>
      <c r="G243" s="180" t="str">
        <f>IF(ISERROR(INDEX(Data!$C$3:$F$517,MATCH('Item IDs'!B243,Data!$F$3:$F$517,0),1)),"NOT ASSIGNED",INDEX(Data!$C$3:$F$517,MATCH('Item IDs'!B243,Data!$F$3:$F$517,0),1))</f>
        <v>NOT ASSIGNED</v>
      </c>
      <c r="H243" s="180"/>
    </row>
    <row r="244" spans="2:8">
      <c r="B244" s="178">
        <v>1240</v>
      </c>
      <c r="C244" s="179" t="str">
        <f>IF(ISERROR(VLOOKUP(B244,Data!$F$3:$H$517,3,FALSE)),"N/A",VLOOKUP(B244,Data!$F$3:$H$517,3,FALSE))</f>
        <v>N/A</v>
      </c>
      <c r="D244" s="191" t="str">
        <f t="shared" si="9"/>
        <v xml:space="preserve"> </v>
      </c>
      <c r="E244" s="189" t="str">
        <f t="shared" si="10"/>
        <v xml:space="preserve"> </v>
      </c>
      <c r="F244" s="189" t="str">
        <f t="shared" si="11"/>
        <v xml:space="preserve"> </v>
      </c>
      <c r="G244" s="180" t="str">
        <f>IF(ISERROR(INDEX(Data!$C$3:$F$517,MATCH('Item IDs'!B244,Data!$F$3:$F$517,0),1)),"NOT ASSIGNED",INDEX(Data!$C$3:$F$517,MATCH('Item IDs'!B244,Data!$F$3:$F$517,0),1))</f>
        <v>NOT ASSIGNED</v>
      </c>
      <c r="H244" s="180"/>
    </row>
    <row r="245" spans="2:8">
      <c r="B245" s="178">
        <v>1241</v>
      </c>
      <c r="C245" s="179" t="str">
        <f>IF(ISERROR(VLOOKUP(B245,Data!$F$3:$H$517,3,FALSE)),"N/A",VLOOKUP(B245,Data!$F$3:$H$517,3,FALSE))</f>
        <v>N/A</v>
      </c>
      <c r="D245" s="191" t="str">
        <f t="shared" si="9"/>
        <v xml:space="preserve"> </v>
      </c>
      <c r="E245" s="189" t="str">
        <f t="shared" si="10"/>
        <v xml:space="preserve"> </v>
      </c>
      <c r="F245" s="189" t="str">
        <f t="shared" si="11"/>
        <v xml:space="preserve"> </v>
      </c>
      <c r="G245" s="180" t="str">
        <f>IF(ISERROR(INDEX(Data!$C$3:$F$517,MATCH('Item IDs'!B245,Data!$F$3:$F$517,0),1)),"NOT ASSIGNED",INDEX(Data!$C$3:$F$517,MATCH('Item IDs'!B245,Data!$F$3:$F$517,0),1))</f>
        <v>NOT ASSIGNED</v>
      </c>
      <c r="H245" s="180"/>
    </row>
    <row r="246" spans="2:8">
      <c r="B246" s="178">
        <v>1242</v>
      </c>
      <c r="C246" s="179" t="str">
        <f>IF(ISERROR(VLOOKUP(B246,Data!$F$3:$H$517,3,FALSE)),"N/A",VLOOKUP(B246,Data!$F$3:$H$517,3,FALSE))</f>
        <v>N/A</v>
      </c>
      <c r="D246" s="191" t="str">
        <f t="shared" si="9"/>
        <v xml:space="preserve"> </v>
      </c>
      <c r="E246" s="189" t="str">
        <f t="shared" si="10"/>
        <v xml:space="preserve"> </v>
      </c>
      <c r="F246" s="189" t="str">
        <f t="shared" si="11"/>
        <v xml:space="preserve"> </v>
      </c>
      <c r="G246" s="180" t="str">
        <f>IF(ISERROR(INDEX(Data!$C$3:$F$517,MATCH('Item IDs'!B246,Data!$F$3:$F$517,0),1)),"NOT ASSIGNED",INDEX(Data!$C$3:$F$517,MATCH('Item IDs'!B246,Data!$F$3:$F$517,0),1))</f>
        <v>NOT ASSIGNED</v>
      </c>
      <c r="H246" s="180"/>
    </row>
    <row r="247" spans="2:8">
      <c r="B247" s="178">
        <v>1243</v>
      </c>
      <c r="C247" s="179" t="str">
        <f>IF(ISERROR(VLOOKUP(B247,Data!$F$3:$H$517,3,FALSE)),"N/A",VLOOKUP(B247,Data!$F$3:$H$517,3,FALSE))</f>
        <v>N/A</v>
      </c>
      <c r="D247" s="191" t="str">
        <f t="shared" si="9"/>
        <v xml:space="preserve"> </v>
      </c>
      <c r="E247" s="189" t="str">
        <f t="shared" si="10"/>
        <v xml:space="preserve"> </v>
      </c>
      <c r="F247" s="189" t="str">
        <f t="shared" si="11"/>
        <v xml:space="preserve"> </v>
      </c>
      <c r="G247" s="180" t="str">
        <f>IF(ISERROR(INDEX(Data!$C$3:$F$517,MATCH('Item IDs'!B247,Data!$F$3:$F$517,0),1)),"NOT ASSIGNED",INDEX(Data!$C$3:$F$517,MATCH('Item IDs'!B247,Data!$F$3:$F$517,0),1))</f>
        <v>NOT ASSIGNED</v>
      </c>
      <c r="H247" s="180"/>
    </row>
    <row r="248" spans="2:8">
      <c r="B248" s="178">
        <v>1244</v>
      </c>
      <c r="C248" s="179" t="str">
        <f>IF(ISERROR(VLOOKUP(B248,Data!$F$3:$H$517,3,FALSE)),"N/A",VLOOKUP(B248,Data!$F$3:$H$517,3,FALSE))</f>
        <v>N/A</v>
      </c>
      <c r="D248" s="191" t="str">
        <f t="shared" si="9"/>
        <v xml:space="preserve"> </v>
      </c>
      <c r="E248" s="189" t="str">
        <f t="shared" si="10"/>
        <v xml:space="preserve"> </v>
      </c>
      <c r="F248" s="189" t="str">
        <f t="shared" si="11"/>
        <v xml:space="preserve"> </v>
      </c>
      <c r="G248" s="180" t="str">
        <f>IF(ISERROR(INDEX(Data!$C$3:$F$517,MATCH('Item IDs'!B248,Data!$F$3:$F$517,0),1)),"NOT ASSIGNED",INDEX(Data!$C$3:$F$517,MATCH('Item IDs'!B248,Data!$F$3:$F$517,0),1))</f>
        <v>NOT ASSIGNED</v>
      </c>
      <c r="H248" s="180"/>
    </row>
    <row r="249" spans="2:8">
      <c r="B249" s="178">
        <v>1245</v>
      </c>
      <c r="C249" s="179" t="str">
        <f>IF(ISERROR(VLOOKUP(B249,Data!$F$3:$H$517,3,FALSE)),"N/A",VLOOKUP(B249,Data!$F$3:$H$517,3,FALSE))</f>
        <v>N/A</v>
      </c>
      <c r="D249" s="191" t="str">
        <f t="shared" si="9"/>
        <v xml:space="preserve"> </v>
      </c>
      <c r="E249" s="189" t="str">
        <f t="shared" si="10"/>
        <v xml:space="preserve"> </v>
      </c>
      <c r="F249" s="189" t="str">
        <f t="shared" si="11"/>
        <v xml:space="preserve"> </v>
      </c>
      <c r="G249" s="180" t="str">
        <f>IF(ISERROR(INDEX(Data!$C$3:$F$517,MATCH('Item IDs'!B249,Data!$F$3:$F$517,0),1)),"NOT ASSIGNED",INDEX(Data!$C$3:$F$517,MATCH('Item IDs'!B249,Data!$F$3:$F$517,0),1))</f>
        <v>NOT ASSIGNED</v>
      </c>
      <c r="H249" s="180"/>
    </row>
    <row r="250" spans="2:8">
      <c r="B250" s="178">
        <v>1246</v>
      </c>
      <c r="C250" s="179" t="str">
        <f>IF(ISERROR(VLOOKUP(B250,Data!$F$3:$H$517,3,FALSE)),"N/A",VLOOKUP(B250,Data!$F$3:$H$517,3,FALSE))</f>
        <v>N/A</v>
      </c>
      <c r="D250" s="191" t="str">
        <f t="shared" si="9"/>
        <v xml:space="preserve"> </v>
      </c>
      <c r="E250" s="189" t="str">
        <f t="shared" si="10"/>
        <v xml:space="preserve"> </v>
      </c>
      <c r="F250" s="189" t="str">
        <f t="shared" si="11"/>
        <v xml:space="preserve"> </v>
      </c>
      <c r="G250" s="180" t="str">
        <f>IF(ISERROR(INDEX(Data!$C$3:$F$517,MATCH('Item IDs'!B250,Data!$F$3:$F$517,0),1)),"NOT ASSIGNED",INDEX(Data!$C$3:$F$517,MATCH('Item IDs'!B250,Data!$F$3:$F$517,0),1))</f>
        <v>NOT ASSIGNED</v>
      </c>
      <c r="H250" s="180"/>
    </row>
    <row r="251" spans="2:8">
      <c r="B251" s="178">
        <v>1247</v>
      </c>
      <c r="C251" s="179" t="str">
        <f>IF(ISERROR(VLOOKUP(B251,Data!$F$3:$H$517,3,FALSE)),"N/A",VLOOKUP(B251,Data!$F$3:$H$517,3,FALSE))</f>
        <v>N/A</v>
      </c>
      <c r="D251" s="191" t="str">
        <f t="shared" si="9"/>
        <v xml:space="preserve"> </v>
      </c>
      <c r="E251" s="189" t="str">
        <f t="shared" si="10"/>
        <v xml:space="preserve"> </v>
      </c>
      <c r="F251" s="189" t="str">
        <f t="shared" si="11"/>
        <v xml:space="preserve"> </v>
      </c>
      <c r="G251" s="180" t="str">
        <f>IF(ISERROR(INDEX(Data!$C$3:$F$517,MATCH('Item IDs'!B251,Data!$F$3:$F$517,0),1)),"NOT ASSIGNED",INDEX(Data!$C$3:$F$517,MATCH('Item IDs'!B251,Data!$F$3:$F$517,0),1))</f>
        <v>NOT ASSIGNED</v>
      </c>
      <c r="H251" s="180"/>
    </row>
    <row r="252" spans="2:8">
      <c r="B252" s="178">
        <v>1248</v>
      </c>
      <c r="C252" s="179" t="str">
        <f>IF(ISERROR(VLOOKUP(B252,Data!$F$3:$H$517,3,FALSE)),"N/A",VLOOKUP(B252,Data!$F$3:$H$517,3,FALSE))</f>
        <v>N/A</v>
      </c>
      <c r="D252" s="191" t="str">
        <f t="shared" si="9"/>
        <v xml:space="preserve"> </v>
      </c>
      <c r="E252" s="189" t="str">
        <f t="shared" si="10"/>
        <v xml:space="preserve"> </v>
      </c>
      <c r="F252" s="189" t="str">
        <f t="shared" si="11"/>
        <v xml:space="preserve"> </v>
      </c>
      <c r="G252" s="180" t="str">
        <f>IF(ISERROR(INDEX(Data!$C$3:$F$517,MATCH('Item IDs'!B252,Data!$F$3:$F$517,0),1)),"NOT ASSIGNED",INDEX(Data!$C$3:$F$517,MATCH('Item IDs'!B252,Data!$F$3:$F$517,0),1))</f>
        <v>NOT ASSIGNED</v>
      </c>
      <c r="H252" s="180"/>
    </row>
    <row r="253" spans="2:8">
      <c r="B253" s="178">
        <v>1249</v>
      </c>
      <c r="C253" s="179" t="str">
        <f>IF(ISERROR(VLOOKUP(B253,Data!$F$3:$H$517,3,FALSE)),"N/A",VLOOKUP(B253,Data!$F$3:$H$517,3,FALSE))</f>
        <v>N/A</v>
      </c>
      <c r="D253" s="191" t="str">
        <f t="shared" si="9"/>
        <v xml:space="preserve"> </v>
      </c>
      <c r="E253" s="189" t="str">
        <f t="shared" si="10"/>
        <v xml:space="preserve"> </v>
      </c>
      <c r="F253" s="189" t="str">
        <f t="shared" si="11"/>
        <v xml:space="preserve"> </v>
      </c>
      <c r="G253" s="180" t="str">
        <f>IF(ISERROR(INDEX(Data!$C$3:$F$517,MATCH('Item IDs'!B253,Data!$F$3:$F$517,0),1)),"NOT ASSIGNED",INDEX(Data!$C$3:$F$517,MATCH('Item IDs'!B253,Data!$F$3:$F$517,0),1))</f>
        <v>NOT ASSIGNED</v>
      </c>
      <c r="H253" s="180"/>
    </row>
    <row r="254" spans="2:8">
      <c r="B254" s="178">
        <v>1250</v>
      </c>
      <c r="C254" s="179" t="str">
        <f>IF(ISERROR(VLOOKUP(B254,Data!$F$3:$H$517,3,FALSE)),"N/A",VLOOKUP(B254,Data!$F$3:$H$517,3,FALSE))</f>
        <v>N/A</v>
      </c>
      <c r="D254" s="191" t="str">
        <f t="shared" si="9"/>
        <v xml:space="preserve"> </v>
      </c>
      <c r="E254" s="189" t="str">
        <f t="shared" si="10"/>
        <v xml:space="preserve"> </v>
      </c>
      <c r="F254" s="189" t="str">
        <f t="shared" si="11"/>
        <v xml:space="preserve"> </v>
      </c>
      <c r="G254" s="180" t="str">
        <f>IF(ISERROR(INDEX(Data!$C$3:$F$517,MATCH('Item IDs'!B254,Data!$F$3:$F$517,0),1)),"NOT ASSIGNED",INDEX(Data!$C$3:$F$517,MATCH('Item IDs'!B254,Data!$F$3:$F$517,0),1))</f>
        <v>NOT ASSIGNED</v>
      </c>
      <c r="H254" s="180"/>
    </row>
    <row r="255" spans="2:8">
      <c r="B255" s="178">
        <v>1251</v>
      </c>
      <c r="C255" s="179" t="str">
        <f>IF(ISERROR(VLOOKUP(B255,Data!$F$3:$H$517,3,FALSE)),"N/A",VLOOKUP(B255,Data!$F$3:$H$517,3,FALSE))</f>
        <v>N/A</v>
      </c>
      <c r="D255" s="191" t="str">
        <f t="shared" ref="D255:D285" si="12">IF(ISERROR(FIND(".",C255))," ",LEFT(C255,FIND(".",C255)-1))</f>
        <v xml:space="preserve"> </v>
      </c>
      <c r="E255" s="189" t="str">
        <f t="shared" ref="E255:E285" si="13">IF(ISERROR(FIND(".",C255))," ",LEFT(RIGHT(C255,LEN(C255)-FIND(".",C255)),FIND(".",RIGHT(C255,LEN(C255)-FIND(".",C255)))-1))</f>
        <v xml:space="preserve"> </v>
      </c>
      <c r="F255" s="189" t="str">
        <f t="shared" ref="F255:F285" si="14">IF(ISERROR(FIND("(",C255))," ",MID(C255,FIND("(",C255)+1,FIND(")",C255)-FIND("(",C255)-1))</f>
        <v xml:space="preserve"> </v>
      </c>
      <c r="G255" s="180" t="str">
        <f>IF(ISERROR(INDEX(Data!$C$3:$F$517,MATCH('Item IDs'!B255,Data!$F$3:$F$517,0),1)),"NOT ASSIGNED",INDEX(Data!$C$3:$F$517,MATCH('Item IDs'!B255,Data!$F$3:$F$517,0),1))</f>
        <v>NOT ASSIGNED</v>
      </c>
      <c r="H255" s="180"/>
    </row>
    <row r="256" spans="2:8">
      <c r="B256" s="178">
        <v>1252</v>
      </c>
      <c r="C256" s="179" t="str">
        <f>IF(ISERROR(VLOOKUP(B256,Data!$F$3:$H$517,3,FALSE)),"N/A",VLOOKUP(B256,Data!$F$3:$H$517,3,FALSE))</f>
        <v>N/A</v>
      </c>
      <c r="D256" s="191" t="str">
        <f t="shared" si="12"/>
        <v xml:space="preserve"> </v>
      </c>
      <c r="E256" s="189" t="str">
        <f t="shared" si="13"/>
        <v xml:space="preserve"> </v>
      </c>
      <c r="F256" s="189" t="str">
        <f t="shared" si="14"/>
        <v xml:space="preserve"> </v>
      </c>
      <c r="G256" s="180" t="str">
        <f>IF(ISERROR(INDEX(Data!$C$3:$F$517,MATCH('Item IDs'!B256,Data!$F$3:$F$517,0),1)),"NOT ASSIGNED",INDEX(Data!$C$3:$F$517,MATCH('Item IDs'!B256,Data!$F$3:$F$517,0),1))</f>
        <v>NOT ASSIGNED</v>
      </c>
      <c r="H256" s="180"/>
    </row>
    <row r="257" spans="2:8">
      <c r="B257" s="178">
        <v>1253</v>
      </c>
      <c r="C257" s="179" t="str">
        <f>IF(ISERROR(VLOOKUP(B257,Data!$F$3:$H$517,3,FALSE)),"N/A",VLOOKUP(B257,Data!$F$3:$H$517,3,FALSE))</f>
        <v>N/A</v>
      </c>
      <c r="D257" s="191" t="str">
        <f t="shared" si="12"/>
        <v xml:space="preserve"> </v>
      </c>
      <c r="E257" s="189" t="str">
        <f t="shared" si="13"/>
        <v xml:space="preserve"> </v>
      </c>
      <c r="F257" s="189" t="str">
        <f t="shared" si="14"/>
        <v xml:space="preserve"> </v>
      </c>
      <c r="G257" s="180" t="str">
        <f>IF(ISERROR(INDEX(Data!$C$3:$F$517,MATCH('Item IDs'!B257,Data!$F$3:$F$517,0),1)),"NOT ASSIGNED",INDEX(Data!$C$3:$F$517,MATCH('Item IDs'!B257,Data!$F$3:$F$517,0),1))</f>
        <v>NOT ASSIGNED</v>
      </c>
      <c r="H257" s="180"/>
    </row>
    <row r="258" spans="2:8">
      <c r="B258" s="178">
        <v>1254</v>
      </c>
      <c r="C258" s="179" t="str">
        <f>IF(ISERROR(VLOOKUP(B258,Data!$F$3:$H$517,3,FALSE)),"N/A",VLOOKUP(B258,Data!$F$3:$H$517,3,FALSE))</f>
        <v>N/A</v>
      </c>
      <c r="D258" s="191" t="str">
        <f t="shared" si="12"/>
        <v xml:space="preserve"> </v>
      </c>
      <c r="E258" s="189" t="str">
        <f t="shared" si="13"/>
        <v xml:space="preserve"> </v>
      </c>
      <c r="F258" s="189" t="str">
        <f t="shared" si="14"/>
        <v xml:space="preserve"> </v>
      </c>
      <c r="G258" s="180" t="str">
        <f>IF(ISERROR(INDEX(Data!$C$3:$F$517,MATCH('Item IDs'!B258,Data!$F$3:$F$517,0),1)),"NOT ASSIGNED",INDEX(Data!$C$3:$F$517,MATCH('Item IDs'!B258,Data!$F$3:$F$517,0),1))</f>
        <v>NOT ASSIGNED</v>
      </c>
      <c r="H258" s="180"/>
    </row>
    <row r="259" spans="2:8">
      <c r="B259" s="178">
        <v>1255</v>
      </c>
      <c r="C259" s="179" t="str">
        <f>IF(ISERROR(VLOOKUP(B259,Data!$F$3:$H$517,3,FALSE)),"N/A",VLOOKUP(B259,Data!$F$3:$H$517,3,FALSE))</f>
        <v>N/A</v>
      </c>
      <c r="D259" s="191" t="str">
        <f t="shared" si="12"/>
        <v xml:space="preserve"> </v>
      </c>
      <c r="E259" s="189" t="str">
        <f t="shared" si="13"/>
        <v xml:space="preserve"> </v>
      </c>
      <c r="F259" s="189" t="str">
        <f t="shared" si="14"/>
        <v xml:space="preserve"> </v>
      </c>
      <c r="G259" s="180" t="str">
        <f>IF(ISERROR(INDEX(Data!$C$3:$F$517,MATCH('Item IDs'!B259,Data!$F$3:$F$517,0),1)),"NOT ASSIGNED",INDEX(Data!$C$3:$F$517,MATCH('Item IDs'!B259,Data!$F$3:$F$517,0),1))</f>
        <v>NOT ASSIGNED</v>
      </c>
      <c r="H259" s="180"/>
    </row>
    <row r="260" spans="2:8">
      <c r="B260" s="178">
        <v>1256</v>
      </c>
      <c r="C260" s="179" t="str">
        <f>IF(ISERROR(VLOOKUP(B260,Data!$F$3:$H$517,3,FALSE)),"N/A",VLOOKUP(B260,Data!$F$3:$H$517,3,FALSE))</f>
        <v>N/A</v>
      </c>
      <c r="D260" s="191" t="str">
        <f t="shared" si="12"/>
        <v xml:space="preserve"> </v>
      </c>
      <c r="E260" s="189" t="str">
        <f t="shared" si="13"/>
        <v xml:space="preserve"> </v>
      </c>
      <c r="F260" s="189" t="str">
        <f t="shared" si="14"/>
        <v xml:space="preserve"> </v>
      </c>
      <c r="G260" s="180" t="str">
        <f>IF(ISERROR(INDEX(Data!$C$3:$F$517,MATCH('Item IDs'!B260,Data!$F$3:$F$517,0),1)),"NOT ASSIGNED",INDEX(Data!$C$3:$F$517,MATCH('Item IDs'!B260,Data!$F$3:$F$517,0),1))</f>
        <v>NOT ASSIGNED</v>
      </c>
      <c r="H260" s="180"/>
    </row>
    <row r="261" spans="2:8">
      <c r="B261" s="178">
        <v>1257</v>
      </c>
      <c r="C261" s="179" t="str">
        <f>IF(ISERROR(VLOOKUP(B261,Data!$F$3:$H$517,3,FALSE)),"N/A",VLOOKUP(B261,Data!$F$3:$H$517,3,FALSE))</f>
        <v>N/A</v>
      </c>
      <c r="D261" s="191" t="str">
        <f t="shared" si="12"/>
        <v xml:space="preserve"> </v>
      </c>
      <c r="E261" s="189" t="str">
        <f t="shared" si="13"/>
        <v xml:space="preserve"> </v>
      </c>
      <c r="F261" s="189" t="str">
        <f t="shared" si="14"/>
        <v xml:space="preserve"> </v>
      </c>
      <c r="G261" s="180" t="str">
        <f>IF(ISERROR(INDEX(Data!$C$3:$F$517,MATCH('Item IDs'!B261,Data!$F$3:$F$517,0),1)),"NOT ASSIGNED",INDEX(Data!$C$3:$F$517,MATCH('Item IDs'!B261,Data!$F$3:$F$517,0),1))</f>
        <v>NOT ASSIGNED</v>
      </c>
      <c r="H261" s="180"/>
    </row>
    <row r="262" spans="2:8">
      <c r="B262" s="178">
        <v>1258</v>
      </c>
      <c r="C262" s="179" t="str">
        <f>IF(ISERROR(VLOOKUP(B262,Data!$F$3:$H$517,3,FALSE)),"N/A",VLOOKUP(B262,Data!$F$3:$H$517,3,FALSE))</f>
        <v>N/A</v>
      </c>
      <c r="D262" s="191" t="str">
        <f t="shared" si="12"/>
        <v xml:space="preserve"> </v>
      </c>
      <c r="E262" s="189" t="str">
        <f t="shared" si="13"/>
        <v xml:space="preserve"> </v>
      </c>
      <c r="F262" s="189" t="str">
        <f t="shared" si="14"/>
        <v xml:space="preserve"> </v>
      </c>
      <c r="G262" s="180" t="str">
        <f>IF(ISERROR(INDEX(Data!$C$3:$F$517,MATCH('Item IDs'!B262,Data!$F$3:$F$517,0),1)),"NOT ASSIGNED",INDEX(Data!$C$3:$F$517,MATCH('Item IDs'!B262,Data!$F$3:$F$517,0),1))</f>
        <v>NOT ASSIGNED</v>
      </c>
      <c r="H262" s="180"/>
    </row>
    <row r="263" spans="2:8">
      <c r="B263" s="178">
        <v>1259</v>
      </c>
      <c r="C263" s="179" t="str">
        <f>IF(ISERROR(VLOOKUP(B263,Data!$F$3:$H$517,3,FALSE)),"N/A",VLOOKUP(B263,Data!$F$3:$H$517,3,FALSE))</f>
        <v>N/A</v>
      </c>
      <c r="D263" s="191" t="str">
        <f t="shared" si="12"/>
        <v xml:space="preserve"> </v>
      </c>
      <c r="E263" s="189" t="str">
        <f t="shared" si="13"/>
        <v xml:space="preserve"> </v>
      </c>
      <c r="F263" s="189" t="str">
        <f t="shared" si="14"/>
        <v xml:space="preserve"> </v>
      </c>
      <c r="G263" s="180" t="str">
        <f>IF(ISERROR(INDEX(Data!$C$3:$F$517,MATCH('Item IDs'!B263,Data!$F$3:$F$517,0),1)),"NOT ASSIGNED",INDEX(Data!$C$3:$F$517,MATCH('Item IDs'!B263,Data!$F$3:$F$517,0),1))</f>
        <v>NOT ASSIGNED</v>
      </c>
      <c r="H263" s="180"/>
    </row>
    <row r="264" spans="2:8">
      <c r="B264" s="178">
        <v>1260</v>
      </c>
      <c r="C264" s="179" t="str">
        <f>IF(ISERROR(VLOOKUP(B264,Data!$F$3:$H$517,3,FALSE)),"N/A",VLOOKUP(B264,Data!$F$3:$H$517,3,FALSE))</f>
        <v>N/A</v>
      </c>
      <c r="D264" s="191" t="str">
        <f t="shared" si="12"/>
        <v xml:space="preserve"> </v>
      </c>
      <c r="E264" s="189" t="str">
        <f t="shared" si="13"/>
        <v xml:space="preserve"> </v>
      </c>
      <c r="F264" s="189" t="str">
        <f t="shared" si="14"/>
        <v xml:space="preserve"> </v>
      </c>
      <c r="G264" s="180" t="str">
        <f>IF(ISERROR(INDEX(Data!$C$3:$F$517,MATCH('Item IDs'!B264,Data!$F$3:$F$517,0),1)),"NOT ASSIGNED",INDEX(Data!$C$3:$F$517,MATCH('Item IDs'!B264,Data!$F$3:$F$517,0),1))</f>
        <v>NOT ASSIGNED</v>
      </c>
      <c r="H264" s="180"/>
    </row>
    <row r="265" spans="2:8">
      <c r="B265" s="178">
        <v>1261</v>
      </c>
      <c r="C265" s="179" t="str">
        <f>IF(ISERROR(VLOOKUP(B265,Data!$F$3:$H$517,3,FALSE)),"N/A",VLOOKUP(B265,Data!$F$3:$H$517,3,FALSE))</f>
        <v>N/A</v>
      </c>
      <c r="D265" s="191" t="str">
        <f t="shared" si="12"/>
        <v xml:space="preserve"> </v>
      </c>
      <c r="E265" s="189" t="str">
        <f t="shared" si="13"/>
        <v xml:space="preserve"> </v>
      </c>
      <c r="F265" s="189" t="str">
        <f t="shared" si="14"/>
        <v xml:space="preserve"> </v>
      </c>
      <c r="G265" s="180" t="str">
        <f>IF(ISERROR(INDEX(Data!$C$3:$F$517,MATCH('Item IDs'!B265,Data!$F$3:$F$517,0),1)),"NOT ASSIGNED",INDEX(Data!$C$3:$F$517,MATCH('Item IDs'!B265,Data!$F$3:$F$517,0),1))</f>
        <v>NOT ASSIGNED</v>
      </c>
      <c r="H265" s="180"/>
    </row>
    <row r="266" spans="2:8">
      <c r="B266" s="178">
        <v>1262</v>
      </c>
      <c r="C266" s="179" t="str">
        <f>IF(ISERROR(VLOOKUP(B266,Data!$F$3:$H$517,3,FALSE)),"N/A",VLOOKUP(B266,Data!$F$3:$H$517,3,FALSE))</f>
        <v>N/A</v>
      </c>
      <c r="D266" s="191" t="str">
        <f t="shared" si="12"/>
        <v xml:space="preserve"> </v>
      </c>
      <c r="E266" s="189" t="str">
        <f t="shared" si="13"/>
        <v xml:space="preserve"> </v>
      </c>
      <c r="F266" s="189" t="str">
        <f t="shared" si="14"/>
        <v xml:space="preserve"> </v>
      </c>
      <c r="G266" s="180" t="str">
        <f>IF(ISERROR(INDEX(Data!$C$3:$F$517,MATCH('Item IDs'!B266,Data!$F$3:$F$517,0),1)),"NOT ASSIGNED",INDEX(Data!$C$3:$F$517,MATCH('Item IDs'!B266,Data!$F$3:$F$517,0),1))</f>
        <v>NOT ASSIGNED</v>
      </c>
      <c r="H266" s="180"/>
    </row>
    <row r="267" spans="2:8">
      <c r="B267" s="178">
        <v>1263</v>
      </c>
      <c r="C267" s="179" t="str">
        <f>IF(ISERROR(VLOOKUP(B267,Data!$F$3:$H$517,3,FALSE)),"N/A",VLOOKUP(B267,Data!$F$3:$H$517,3,FALSE))</f>
        <v>N/A</v>
      </c>
      <c r="D267" s="191" t="str">
        <f t="shared" si="12"/>
        <v xml:space="preserve"> </v>
      </c>
      <c r="E267" s="189" t="str">
        <f t="shared" si="13"/>
        <v xml:space="preserve"> </v>
      </c>
      <c r="F267" s="189" t="str">
        <f t="shared" si="14"/>
        <v xml:space="preserve"> </v>
      </c>
      <c r="G267" s="180" t="str">
        <f>IF(ISERROR(INDEX(Data!$C$3:$F$517,MATCH('Item IDs'!B267,Data!$F$3:$F$517,0),1)),"NOT ASSIGNED",INDEX(Data!$C$3:$F$517,MATCH('Item IDs'!B267,Data!$F$3:$F$517,0),1))</f>
        <v>NOT ASSIGNED</v>
      </c>
      <c r="H267" s="180"/>
    </row>
    <row r="268" spans="2:8">
      <c r="B268" s="178">
        <v>1264</v>
      </c>
      <c r="C268" s="179" t="str">
        <f>IF(ISERROR(VLOOKUP(B268,Data!$F$3:$H$517,3,FALSE)),"N/A",VLOOKUP(B268,Data!$F$3:$H$517,3,FALSE))</f>
        <v>N/A</v>
      </c>
      <c r="D268" s="191" t="str">
        <f t="shared" si="12"/>
        <v xml:space="preserve"> </v>
      </c>
      <c r="E268" s="189" t="str">
        <f t="shared" si="13"/>
        <v xml:space="preserve"> </v>
      </c>
      <c r="F268" s="189" t="str">
        <f t="shared" si="14"/>
        <v xml:space="preserve"> </v>
      </c>
      <c r="G268" s="180" t="str">
        <f>IF(ISERROR(INDEX(Data!$C$3:$F$517,MATCH('Item IDs'!B268,Data!$F$3:$F$517,0),1)),"NOT ASSIGNED",INDEX(Data!$C$3:$F$517,MATCH('Item IDs'!B268,Data!$F$3:$F$517,0),1))</f>
        <v>NOT ASSIGNED</v>
      </c>
      <c r="H268" s="180"/>
    </row>
    <row r="269" spans="2:8">
      <c r="B269" s="178">
        <v>1265</v>
      </c>
      <c r="C269" s="179" t="str">
        <f>IF(ISERROR(VLOOKUP(B269,Data!$F$3:$H$517,3,FALSE)),"N/A",VLOOKUP(B269,Data!$F$3:$H$517,3,FALSE))</f>
        <v>N/A</v>
      </c>
      <c r="D269" s="191" t="str">
        <f t="shared" si="12"/>
        <v xml:space="preserve"> </v>
      </c>
      <c r="E269" s="189" t="str">
        <f t="shared" si="13"/>
        <v xml:space="preserve"> </v>
      </c>
      <c r="F269" s="189" t="str">
        <f t="shared" si="14"/>
        <v xml:space="preserve"> </v>
      </c>
      <c r="G269" s="180" t="str">
        <f>IF(ISERROR(INDEX(Data!$C$3:$F$517,MATCH('Item IDs'!B269,Data!$F$3:$F$517,0),1)),"NOT ASSIGNED",INDEX(Data!$C$3:$F$517,MATCH('Item IDs'!B269,Data!$F$3:$F$517,0),1))</f>
        <v>NOT ASSIGNED</v>
      </c>
      <c r="H269" s="180"/>
    </row>
    <row r="270" spans="2:8">
      <c r="B270" s="178">
        <v>1266</v>
      </c>
      <c r="C270" s="179" t="str">
        <f>IF(ISERROR(VLOOKUP(B270,Data!$F$3:$H$517,3,FALSE)),"N/A",VLOOKUP(B270,Data!$F$3:$H$517,3,FALSE))</f>
        <v>N/A</v>
      </c>
      <c r="D270" s="191" t="str">
        <f t="shared" si="12"/>
        <v xml:space="preserve"> </v>
      </c>
      <c r="E270" s="189" t="str">
        <f t="shared" si="13"/>
        <v xml:space="preserve"> </v>
      </c>
      <c r="F270" s="189" t="str">
        <f t="shared" si="14"/>
        <v xml:space="preserve"> </v>
      </c>
      <c r="G270" s="180" t="str">
        <f>IF(ISERROR(INDEX(Data!$C$3:$F$517,MATCH('Item IDs'!B270,Data!$F$3:$F$517,0),1)),"NOT ASSIGNED",INDEX(Data!$C$3:$F$517,MATCH('Item IDs'!B270,Data!$F$3:$F$517,0),1))</f>
        <v>NOT ASSIGNED</v>
      </c>
      <c r="H270" s="180"/>
    </row>
    <row r="271" spans="2:8">
      <c r="B271" s="178">
        <v>1267</v>
      </c>
      <c r="C271" s="179" t="str">
        <f>IF(ISERROR(VLOOKUP(B271,Data!$F$3:$H$517,3,FALSE)),"N/A",VLOOKUP(B271,Data!$F$3:$H$517,3,FALSE))</f>
        <v>N/A</v>
      </c>
      <c r="D271" s="191" t="str">
        <f t="shared" si="12"/>
        <v xml:space="preserve"> </v>
      </c>
      <c r="E271" s="189" t="str">
        <f t="shared" si="13"/>
        <v xml:space="preserve"> </v>
      </c>
      <c r="F271" s="189" t="str">
        <f t="shared" si="14"/>
        <v xml:space="preserve"> </v>
      </c>
      <c r="G271" s="180" t="str">
        <f>IF(ISERROR(INDEX(Data!$C$3:$F$517,MATCH('Item IDs'!B271,Data!$F$3:$F$517,0),1)),"NOT ASSIGNED",INDEX(Data!$C$3:$F$517,MATCH('Item IDs'!B271,Data!$F$3:$F$517,0),1))</f>
        <v>NOT ASSIGNED</v>
      </c>
      <c r="H271" s="180"/>
    </row>
    <row r="272" spans="2:8">
      <c r="B272" s="178">
        <v>1268</v>
      </c>
      <c r="C272" s="179" t="str">
        <f>IF(ISERROR(VLOOKUP(B272,Data!$F$3:$H$517,3,FALSE)),"N/A",VLOOKUP(B272,Data!$F$3:$H$517,3,FALSE))</f>
        <v>N/A</v>
      </c>
      <c r="D272" s="191" t="str">
        <f t="shared" si="12"/>
        <v xml:space="preserve"> </v>
      </c>
      <c r="E272" s="189" t="str">
        <f t="shared" si="13"/>
        <v xml:space="preserve"> </v>
      </c>
      <c r="F272" s="189" t="str">
        <f t="shared" si="14"/>
        <v xml:space="preserve"> </v>
      </c>
      <c r="G272" s="180" t="str">
        <f>IF(ISERROR(INDEX(Data!$C$3:$F$517,MATCH('Item IDs'!B272,Data!$F$3:$F$517,0),1)),"NOT ASSIGNED",INDEX(Data!$C$3:$F$517,MATCH('Item IDs'!B272,Data!$F$3:$F$517,0),1))</f>
        <v>NOT ASSIGNED</v>
      </c>
      <c r="H272" s="180"/>
    </row>
    <row r="273" spans="2:8">
      <c r="B273" s="178">
        <v>1269</v>
      </c>
      <c r="C273" s="179" t="str">
        <f>IF(ISERROR(VLOOKUP(B273,Data!$F$3:$H$517,3,FALSE)),"N/A",VLOOKUP(B273,Data!$F$3:$H$517,3,FALSE))</f>
        <v>N/A</v>
      </c>
      <c r="D273" s="191" t="str">
        <f t="shared" si="12"/>
        <v xml:space="preserve"> </v>
      </c>
      <c r="E273" s="189" t="str">
        <f t="shared" si="13"/>
        <v xml:space="preserve"> </v>
      </c>
      <c r="F273" s="189" t="str">
        <f t="shared" si="14"/>
        <v xml:space="preserve"> </v>
      </c>
      <c r="G273" s="180" t="str">
        <f>IF(ISERROR(INDEX(Data!$C$3:$F$517,MATCH('Item IDs'!B273,Data!$F$3:$F$517,0),1)),"NOT ASSIGNED",INDEX(Data!$C$3:$F$517,MATCH('Item IDs'!B273,Data!$F$3:$F$517,0),1))</f>
        <v>NOT ASSIGNED</v>
      </c>
      <c r="H273" s="180"/>
    </row>
    <row r="274" spans="2:8">
      <c r="B274" s="178">
        <v>1270</v>
      </c>
      <c r="C274" s="179" t="str">
        <f>IF(ISERROR(VLOOKUP(B274,Data!$F$3:$H$517,3,FALSE)),"N/A",VLOOKUP(B274,Data!$F$3:$H$517,3,FALSE))</f>
        <v>N/A</v>
      </c>
      <c r="D274" s="191" t="str">
        <f t="shared" si="12"/>
        <v xml:space="preserve"> </v>
      </c>
      <c r="E274" s="189" t="str">
        <f t="shared" si="13"/>
        <v xml:space="preserve"> </v>
      </c>
      <c r="F274" s="189" t="str">
        <f t="shared" si="14"/>
        <v xml:space="preserve"> </v>
      </c>
      <c r="G274" s="180" t="str">
        <f>IF(ISERROR(INDEX(Data!$C$3:$F$517,MATCH('Item IDs'!B274,Data!$F$3:$F$517,0),1)),"NOT ASSIGNED",INDEX(Data!$C$3:$F$517,MATCH('Item IDs'!B274,Data!$F$3:$F$517,0),1))</f>
        <v>NOT ASSIGNED</v>
      </c>
      <c r="H274" s="180"/>
    </row>
    <row r="275" spans="2:8">
      <c r="B275" s="178">
        <v>1271</v>
      </c>
      <c r="C275" s="179" t="str">
        <f>IF(ISERROR(VLOOKUP(B275,Data!$F$3:$H$517,3,FALSE)),"N/A",VLOOKUP(B275,Data!$F$3:$H$517,3,FALSE))</f>
        <v>N/A</v>
      </c>
      <c r="D275" s="191" t="str">
        <f t="shared" si="12"/>
        <v xml:space="preserve"> </v>
      </c>
      <c r="E275" s="189" t="str">
        <f t="shared" si="13"/>
        <v xml:space="preserve"> </v>
      </c>
      <c r="F275" s="189" t="str">
        <f t="shared" si="14"/>
        <v xml:space="preserve"> </v>
      </c>
      <c r="G275" s="180" t="str">
        <f>IF(ISERROR(INDEX(Data!$C$3:$F$517,MATCH('Item IDs'!B275,Data!$F$3:$F$517,0),1)),"NOT ASSIGNED",INDEX(Data!$C$3:$F$517,MATCH('Item IDs'!B275,Data!$F$3:$F$517,0),1))</f>
        <v>NOT ASSIGNED</v>
      </c>
      <c r="H275" s="180"/>
    </row>
    <row r="276" spans="2:8">
      <c r="B276" s="178">
        <v>1272</v>
      </c>
      <c r="C276" s="179" t="str">
        <f>IF(ISERROR(VLOOKUP(B276,Data!$F$3:$H$517,3,FALSE)),"N/A",VLOOKUP(B276,Data!$F$3:$H$517,3,FALSE))</f>
        <v>N/A</v>
      </c>
      <c r="D276" s="191" t="str">
        <f t="shared" si="12"/>
        <v xml:space="preserve"> </v>
      </c>
      <c r="E276" s="189" t="str">
        <f t="shared" si="13"/>
        <v xml:space="preserve"> </v>
      </c>
      <c r="F276" s="189" t="str">
        <f t="shared" si="14"/>
        <v xml:space="preserve"> </v>
      </c>
      <c r="G276" s="180" t="str">
        <f>IF(ISERROR(INDEX(Data!$C$3:$F$517,MATCH('Item IDs'!B276,Data!$F$3:$F$517,0),1)),"NOT ASSIGNED",INDEX(Data!$C$3:$F$517,MATCH('Item IDs'!B276,Data!$F$3:$F$517,0),1))</f>
        <v>NOT ASSIGNED</v>
      </c>
      <c r="H276" s="180"/>
    </row>
    <row r="277" spans="2:8">
      <c r="B277" s="178">
        <v>1273</v>
      </c>
      <c r="C277" s="179" t="str">
        <f>IF(ISERROR(VLOOKUP(B277,Data!$F$3:$H$517,3,FALSE)),"N/A",VLOOKUP(B277,Data!$F$3:$H$517,3,FALSE))</f>
        <v>N/A</v>
      </c>
      <c r="D277" s="191" t="str">
        <f t="shared" si="12"/>
        <v xml:space="preserve"> </v>
      </c>
      <c r="E277" s="189" t="str">
        <f t="shared" si="13"/>
        <v xml:space="preserve"> </v>
      </c>
      <c r="F277" s="189" t="str">
        <f t="shared" si="14"/>
        <v xml:space="preserve"> </v>
      </c>
      <c r="G277" s="180" t="str">
        <f>IF(ISERROR(INDEX(Data!$C$3:$F$517,MATCH('Item IDs'!B277,Data!$F$3:$F$517,0),1)),"NOT ASSIGNED",INDEX(Data!$C$3:$F$517,MATCH('Item IDs'!B277,Data!$F$3:$F$517,0),1))</f>
        <v>NOT ASSIGNED</v>
      </c>
      <c r="H277" s="180"/>
    </row>
    <row r="278" spans="2:8">
      <c r="B278" s="178">
        <v>1274</v>
      </c>
      <c r="C278" s="179" t="str">
        <f>IF(ISERROR(VLOOKUP(B278,Data!$F$3:$H$517,3,FALSE)),"N/A",VLOOKUP(B278,Data!$F$3:$H$517,3,FALSE))</f>
        <v>N/A</v>
      </c>
      <c r="D278" s="191" t="str">
        <f t="shared" si="12"/>
        <v xml:space="preserve"> </v>
      </c>
      <c r="E278" s="189" t="str">
        <f t="shared" si="13"/>
        <v xml:space="preserve"> </v>
      </c>
      <c r="F278" s="189" t="str">
        <f t="shared" si="14"/>
        <v xml:space="preserve"> </v>
      </c>
      <c r="G278" s="180" t="str">
        <f>IF(ISERROR(INDEX(Data!$C$3:$F$517,MATCH('Item IDs'!B278,Data!$F$3:$F$517,0),1)),"NOT ASSIGNED",INDEX(Data!$C$3:$F$517,MATCH('Item IDs'!B278,Data!$F$3:$F$517,0),1))</f>
        <v>NOT ASSIGNED</v>
      </c>
      <c r="H278" s="180"/>
    </row>
    <row r="279" spans="2:8">
      <c r="B279" s="178">
        <v>1275</v>
      </c>
      <c r="C279" s="179" t="str">
        <f>IF(ISERROR(VLOOKUP(B279,Data!$F$3:$H$517,3,FALSE)),"N/A",VLOOKUP(B279,Data!$F$3:$H$517,3,FALSE))</f>
        <v>N/A</v>
      </c>
      <c r="D279" s="191" t="str">
        <f t="shared" si="12"/>
        <v xml:space="preserve"> </v>
      </c>
      <c r="E279" s="189" t="str">
        <f t="shared" si="13"/>
        <v xml:space="preserve"> </v>
      </c>
      <c r="F279" s="189" t="str">
        <f t="shared" si="14"/>
        <v xml:space="preserve"> </v>
      </c>
      <c r="G279" s="180" t="str">
        <f>IF(ISERROR(INDEX(Data!$C$3:$F$517,MATCH('Item IDs'!B279,Data!$F$3:$F$517,0),1)),"NOT ASSIGNED",INDEX(Data!$C$3:$F$517,MATCH('Item IDs'!B279,Data!$F$3:$F$517,0),1))</f>
        <v>NOT ASSIGNED</v>
      </c>
      <c r="H279" s="180"/>
    </row>
    <row r="280" spans="2:8">
      <c r="B280" s="178">
        <v>1276</v>
      </c>
      <c r="C280" s="179" t="str">
        <f>IF(ISERROR(VLOOKUP(B280,Data!$F$3:$H$517,3,FALSE)),"N/A",VLOOKUP(B280,Data!$F$3:$H$517,3,FALSE))</f>
        <v>N/A</v>
      </c>
      <c r="D280" s="191" t="str">
        <f t="shared" si="12"/>
        <v xml:space="preserve"> </v>
      </c>
      <c r="E280" s="189" t="str">
        <f t="shared" si="13"/>
        <v xml:space="preserve"> </v>
      </c>
      <c r="F280" s="189" t="str">
        <f t="shared" si="14"/>
        <v xml:space="preserve"> </v>
      </c>
      <c r="G280" s="180" t="str">
        <f>IF(ISERROR(INDEX(Data!$C$3:$F$517,MATCH('Item IDs'!B280,Data!$F$3:$F$517,0),1)),"NOT ASSIGNED",INDEX(Data!$C$3:$F$517,MATCH('Item IDs'!B280,Data!$F$3:$F$517,0),1))</f>
        <v>NOT ASSIGNED</v>
      </c>
      <c r="H280" s="180"/>
    </row>
    <row r="281" spans="2:8">
      <c r="B281" s="178">
        <v>1277</v>
      </c>
      <c r="C281" s="179" t="str">
        <f>IF(ISERROR(VLOOKUP(B281,Data!$F$3:$H$517,3,FALSE)),"N/A",VLOOKUP(B281,Data!$F$3:$H$517,3,FALSE))</f>
        <v>N/A</v>
      </c>
      <c r="D281" s="191" t="str">
        <f t="shared" si="12"/>
        <v xml:space="preserve"> </v>
      </c>
      <c r="E281" s="189" t="str">
        <f t="shared" si="13"/>
        <v xml:space="preserve"> </v>
      </c>
      <c r="F281" s="189" t="str">
        <f t="shared" si="14"/>
        <v xml:space="preserve"> </v>
      </c>
      <c r="G281" s="180" t="str">
        <f>IF(ISERROR(INDEX(Data!$C$3:$F$517,MATCH('Item IDs'!B281,Data!$F$3:$F$517,0),1)),"NOT ASSIGNED",INDEX(Data!$C$3:$F$517,MATCH('Item IDs'!B281,Data!$F$3:$F$517,0),1))</f>
        <v>NOT ASSIGNED</v>
      </c>
      <c r="H281" s="180"/>
    </row>
    <row r="282" spans="2:8">
      <c r="B282" s="178">
        <v>1278</v>
      </c>
      <c r="C282" s="179" t="str">
        <f>IF(ISERROR(VLOOKUP(B282,Data!$F$3:$H$517,3,FALSE)),"N/A",VLOOKUP(B282,Data!$F$3:$H$517,3,FALSE))</f>
        <v>N/A</v>
      </c>
      <c r="D282" s="191" t="str">
        <f t="shared" si="12"/>
        <v xml:space="preserve"> </v>
      </c>
      <c r="E282" s="189" t="str">
        <f t="shared" si="13"/>
        <v xml:space="preserve"> </v>
      </c>
      <c r="F282" s="189" t="str">
        <f t="shared" si="14"/>
        <v xml:space="preserve"> </v>
      </c>
      <c r="G282" s="180" t="str">
        <f>IF(ISERROR(INDEX(Data!$C$3:$F$517,MATCH('Item IDs'!B282,Data!$F$3:$F$517,0),1)),"NOT ASSIGNED",INDEX(Data!$C$3:$F$517,MATCH('Item IDs'!B282,Data!$F$3:$F$517,0),1))</f>
        <v>NOT ASSIGNED</v>
      </c>
      <c r="H282" s="180"/>
    </row>
    <row r="283" spans="2:8">
      <c r="B283" s="178">
        <v>1279</v>
      </c>
      <c r="C283" s="179" t="str">
        <f>IF(ISERROR(VLOOKUP(B283,Data!$F$3:$H$517,3,FALSE)),"N/A",VLOOKUP(B283,Data!$F$3:$H$517,3,FALSE))</f>
        <v>N/A</v>
      </c>
      <c r="D283" s="191" t="str">
        <f t="shared" si="12"/>
        <v xml:space="preserve"> </v>
      </c>
      <c r="E283" s="189" t="str">
        <f t="shared" si="13"/>
        <v xml:space="preserve"> </v>
      </c>
      <c r="F283" s="189" t="str">
        <f t="shared" si="14"/>
        <v xml:space="preserve"> </v>
      </c>
      <c r="G283" s="180" t="str">
        <f>IF(ISERROR(INDEX(Data!$C$3:$F$517,MATCH('Item IDs'!B283,Data!$F$3:$F$517,0),1)),"NOT ASSIGNED",INDEX(Data!$C$3:$F$517,MATCH('Item IDs'!B283,Data!$F$3:$F$517,0),1))</f>
        <v>NOT ASSIGNED</v>
      </c>
      <c r="H283" s="180"/>
    </row>
    <row r="284" spans="2:8">
      <c r="B284" s="178">
        <v>1280</v>
      </c>
      <c r="C284" s="179" t="str">
        <f>IF(ISERROR(VLOOKUP(B284,Data!$F$3:$H$517,3,FALSE)),"N/A",VLOOKUP(B284,Data!$F$3:$H$517,3,FALSE))</f>
        <v>N/A</v>
      </c>
      <c r="D284" s="191" t="str">
        <f t="shared" si="12"/>
        <v xml:space="preserve"> </v>
      </c>
      <c r="E284" s="189" t="str">
        <f t="shared" si="13"/>
        <v xml:space="preserve"> </v>
      </c>
      <c r="F284" s="189" t="str">
        <f t="shared" si="14"/>
        <v xml:space="preserve"> </v>
      </c>
      <c r="G284" s="180" t="str">
        <f>IF(ISERROR(INDEX(Data!$C$3:$F$517,MATCH('Item IDs'!B284,Data!$F$3:$F$517,0),1)),"NOT ASSIGNED",INDEX(Data!$C$3:$F$517,MATCH('Item IDs'!B284,Data!$F$3:$F$517,0),1))</f>
        <v>NOT ASSIGNED</v>
      </c>
      <c r="H284" s="180"/>
    </row>
    <row r="285" spans="2:8">
      <c r="B285" s="178">
        <v>1281</v>
      </c>
      <c r="C285" s="179" t="str">
        <f>IF(ISERROR(VLOOKUP(B285,Data!$F$3:$H$517,3,FALSE)),"N/A",VLOOKUP(B285,Data!$F$3:$H$517,3,FALSE))</f>
        <v>N/A</v>
      </c>
      <c r="D285" s="191" t="str">
        <f t="shared" si="12"/>
        <v xml:space="preserve"> </v>
      </c>
      <c r="E285" s="189" t="str">
        <f t="shared" si="13"/>
        <v xml:space="preserve"> </v>
      </c>
      <c r="F285" s="189" t="str">
        <f t="shared" si="14"/>
        <v xml:space="preserve"> </v>
      </c>
      <c r="G285" s="180" t="str">
        <f>IF(ISERROR(INDEX(Data!$C$3:$F$517,MATCH('Item IDs'!B285,Data!$F$3:$F$517,0),1)),"NOT ASSIGNED",INDEX(Data!$C$3:$F$517,MATCH('Item IDs'!B285,Data!$F$3:$F$517,0),1))</f>
        <v>NOT ASSIGNED</v>
      </c>
      <c r="H285" s="180"/>
    </row>
    <row r="286" spans="2:8">
      <c r="B286" s="178">
        <v>1282</v>
      </c>
      <c r="C286" s="179" t="str">
        <f>IF(ISERROR(VLOOKUP(B286,Data!$F$3:$H$517,3,FALSE)),"N/A",VLOOKUP(B286,Data!$F$3:$H$517,3,FALSE))</f>
        <v>N/A</v>
      </c>
      <c r="D286" s="191" t="str">
        <f t="shared" ref="D286:D301" si="15">IF(ISERROR(FIND(".",C286))," ",LEFT(C286,FIND(".",C286)-1))</f>
        <v xml:space="preserve"> </v>
      </c>
      <c r="E286" s="189" t="str">
        <f t="shared" ref="E286:E301" si="16">IF(ISERROR(FIND(".",C286))," ",LEFT(RIGHT(C286,LEN(C286)-FIND(".",C286)),FIND(".",RIGHT(C286,LEN(C286)-FIND(".",C286)))-1))</f>
        <v xml:space="preserve"> </v>
      </c>
      <c r="F286" s="189" t="str">
        <f t="shared" ref="F286:F301" si="17">IF(ISERROR(FIND("(",C286))," ",MID(C286,FIND("(",C286)+1,FIND(")",C286)-FIND("(",C286)-1))</f>
        <v xml:space="preserve"> </v>
      </c>
      <c r="G286" s="180" t="str">
        <f>IF(ISERROR(INDEX(Data!$C$3:$F$517,MATCH('Item IDs'!B286,Data!$F$3:$F$517,0),1)),"NOT ASSIGNED",INDEX(Data!$C$3:$F$517,MATCH('Item IDs'!B286,Data!$F$3:$F$517,0),1))</f>
        <v>NOT ASSIGNED</v>
      </c>
      <c r="H286" s="180"/>
    </row>
    <row r="287" spans="2:8">
      <c r="B287" s="178">
        <v>1283</v>
      </c>
      <c r="C287" s="179" t="str">
        <f>IF(ISERROR(VLOOKUP(B287,Data!$F$3:$H$517,3,FALSE)),"N/A",VLOOKUP(B287,Data!$F$3:$H$517,3,FALSE))</f>
        <v>N/A</v>
      </c>
      <c r="D287" s="191" t="str">
        <f t="shared" si="15"/>
        <v xml:space="preserve"> </v>
      </c>
      <c r="E287" s="189" t="str">
        <f t="shared" si="16"/>
        <v xml:space="preserve"> </v>
      </c>
      <c r="F287" s="189" t="str">
        <f t="shared" si="17"/>
        <v xml:space="preserve"> </v>
      </c>
      <c r="G287" s="180" t="str">
        <f>IF(ISERROR(INDEX(Data!$C$3:$F$517,MATCH('Item IDs'!B287,Data!$F$3:$F$517,0),1)),"NOT ASSIGNED",INDEX(Data!$C$3:$F$517,MATCH('Item IDs'!B287,Data!$F$3:$F$517,0),1))</f>
        <v>NOT ASSIGNED</v>
      </c>
      <c r="H287" s="180"/>
    </row>
    <row r="288" spans="2:8">
      <c r="B288" s="178">
        <v>1284</v>
      </c>
      <c r="C288" s="179" t="str">
        <f>IF(ISERROR(VLOOKUP(B288,Data!$F$3:$H$517,3,FALSE)),"N/A",VLOOKUP(B288,Data!$F$3:$H$517,3,FALSE))</f>
        <v>N/A</v>
      </c>
      <c r="D288" s="191" t="str">
        <f t="shared" si="15"/>
        <v xml:space="preserve"> </v>
      </c>
      <c r="E288" s="189" t="str">
        <f t="shared" si="16"/>
        <v xml:space="preserve"> </v>
      </c>
      <c r="F288" s="189" t="str">
        <f t="shared" si="17"/>
        <v xml:space="preserve"> </v>
      </c>
      <c r="G288" s="180" t="str">
        <f>IF(ISERROR(INDEX(Data!$C$3:$F$517,MATCH('Item IDs'!B288,Data!$F$3:$F$517,0),1)),"NOT ASSIGNED",INDEX(Data!$C$3:$F$517,MATCH('Item IDs'!B288,Data!$F$3:$F$517,0),1))</f>
        <v>NOT ASSIGNED</v>
      </c>
      <c r="H288" s="180"/>
    </row>
    <row r="289" spans="2:8">
      <c r="B289" s="178">
        <v>1285</v>
      </c>
      <c r="C289" s="179" t="str">
        <f>IF(ISERROR(VLOOKUP(B289,Data!$F$3:$H$517,3,FALSE)),"N/A",VLOOKUP(B289,Data!$F$3:$H$517,3,FALSE))</f>
        <v>N/A</v>
      </c>
      <c r="D289" s="191" t="str">
        <f t="shared" si="15"/>
        <v xml:space="preserve"> </v>
      </c>
      <c r="E289" s="189" t="str">
        <f t="shared" si="16"/>
        <v xml:space="preserve"> </v>
      </c>
      <c r="F289" s="189" t="str">
        <f t="shared" si="17"/>
        <v xml:space="preserve"> </v>
      </c>
      <c r="G289" s="180" t="str">
        <f>IF(ISERROR(INDEX(Data!$C$3:$F$517,MATCH('Item IDs'!B289,Data!$F$3:$F$517,0),1)),"NOT ASSIGNED",INDEX(Data!$C$3:$F$517,MATCH('Item IDs'!B289,Data!$F$3:$F$517,0),1))</f>
        <v>NOT ASSIGNED</v>
      </c>
      <c r="H289" s="180"/>
    </row>
    <row r="290" spans="2:8">
      <c r="B290" s="178">
        <v>1286</v>
      </c>
      <c r="C290" s="179" t="str">
        <f>IF(ISERROR(VLOOKUP(B290,Data!$F$3:$H$517,3,FALSE)),"N/A",VLOOKUP(B290,Data!$F$3:$H$517,3,FALSE))</f>
        <v>N/A</v>
      </c>
      <c r="D290" s="191" t="str">
        <f t="shared" si="15"/>
        <v xml:space="preserve"> </v>
      </c>
      <c r="E290" s="189" t="str">
        <f t="shared" si="16"/>
        <v xml:space="preserve"> </v>
      </c>
      <c r="F290" s="189" t="str">
        <f t="shared" si="17"/>
        <v xml:space="preserve"> </v>
      </c>
      <c r="G290" s="180" t="str">
        <f>IF(ISERROR(INDEX(Data!$C$3:$F$517,MATCH('Item IDs'!B290,Data!$F$3:$F$517,0),1)),"NOT ASSIGNED",INDEX(Data!$C$3:$F$517,MATCH('Item IDs'!B290,Data!$F$3:$F$517,0),1))</f>
        <v>NOT ASSIGNED</v>
      </c>
      <c r="H290" s="180"/>
    </row>
    <row r="291" spans="2:8">
      <c r="B291" s="178">
        <v>1287</v>
      </c>
      <c r="C291" s="179" t="str">
        <f>IF(ISERROR(VLOOKUP(B291,Data!$F$3:$H$517,3,FALSE)),"N/A",VLOOKUP(B291,Data!$F$3:$H$517,3,FALSE))</f>
        <v>N/A</v>
      </c>
      <c r="D291" s="191" t="str">
        <f t="shared" si="15"/>
        <v xml:space="preserve"> </v>
      </c>
      <c r="E291" s="189" t="str">
        <f t="shared" si="16"/>
        <v xml:space="preserve"> </v>
      </c>
      <c r="F291" s="189" t="str">
        <f t="shared" si="17"/>
        <v xml:space="preserve"> </v>
      </c>
      <c r="G291" s="180" t="str">
        <f>IF(ISERROR(INDEX(Data!$C$3:$F$517,MATCH('Item IDs'!B291,Data!$F$3:$F$517,0),1)),"NOT ASSIGNED",INDEX(Data!$C$3:$F$517,MATCH('Item IDs'!B291,Data!$F$3:$F$517,0),1))</f>
        <v>NOT ASSIGNED</v>
      </c>
      <c r="H291" s="180"/>
    </row>
    <row r="292" spans="2:8">
      <c r="B292" s="178">
        <v>1288</v>
      </c>
      <c r="C292" s="179" t="str">
        <f>IF(ISERROR(VLOOKUP(B292,Data!$F$3:$H$517,3,FALSE)),"N/A",VLOOKUP(B292,Data!$F$3:$H$517,3,FALSE))</f>
        <v>N/A</v>
      </c>
      <c r="D292" s="191" t="str">
        <f t="shared" si="15"/>
        <v xml:space="preserve"> </v>
      </c>
      <c r="E292" s="189" t="str">
        <f t="shared" si="16"/>
        <v xml:space="preserve"> </v>
      </c>
      <c r="F292" s="189" t="str">
        <f t="shared" si="17"/>
        <v xml:space="preserve"> </v>
      </c>
      <c r="G292" s="180" t="str">
        <f>IF(ISERROR(INDEX(Data!$C$3:$F$517,MATCH('Item IDs'!B292,Data!$F$3:$F$517,0),1)),"NOT ASSIGNED",INDEX(Data!$C$3:$F$517,MATCH('Item IDs'!B292,Data!$F$3:$F$517,0),1))</f>
        <v>NOT ASSIGNED</v>
      </c>
      <c r="H292" s="180"/>
    </row>
    <row r="293" spans="2:8">
      <c r="B293" s="178">
        <v>1289</v>
      </c>
      <c r="C293" s="179" t="str">
        <f>IF(ISERROR(VLOOKUP(B293,Data!$F$3:$H$517,3,FALSE)),"N/A",VLOOKUP(B293,Data!$F$3:$H$517,3,FALSE))</f>
        <v>N/A</v>
      </c>
      <c r="D293" s="191" t="str">
        <f t="shared" si="15"/>
        <v xml:space="preserve"> </v>
      </c>
      <c r="E293" s="189" t="str">
        <f t="shared" si="16"/>
        <v xml:space="preserve"> </v>
      </c>
      <c r="F293" s="189" t="str">
        <f t="shared" si="17"/>
        <v xml:space="preserve"> </v>
      </c>
      <c r="G293" s="180" t="str">
        <f>IF(ISERROR(INDEX(Data!$C$3:$F$517,MATCH('Item IDs'!B293,Data!$F$3:$F$517,0),1)),"NOT ASSIGNED",INDEX(Data!$C$3:$F$517,MATCH('Item IDs'!B293,Data!$F$3:$F$517,0),1))</f>
        <v>NOT ASSIGNED</v>
      </c>
      <c r="H293" s="180"/>
    </row>
    <row r="294" spans="2:8">
      <c r="B294" s="178">
        <v>1290</v>
      </c>
      <c r="C294" s="179" t="str">
        <f>IF(ISERROR(VLOOKUP(B294,Data!$F$3:$H$517,3,FALSE)),"N/A",VLOOKUP(B294,Data!$F$3:$H$517,3,FALSE))</f>
        <v>N/A</v>
      </c>
      <c r="D294" s="191" t="str">
        <f t="shared" si="15"/>
        <v xml:space="preserve"> </v>
      </c>
      <c r="E294" s="189" t="str">
        <f t="shared" si="16"/>
        <v xml:space="preserve"> </v>
      </c>
      <c r="F294" s="189" t="str">
        <f t="shared" si="17"/>
        <v xml:space="preserve"> </v>
      </c>
      <c r="G294" s="180" t="str">
        <f>IF(ISERROR(INDEX(Data!$C$3:$F$517,MATCH('Item IDs'!B294,Data!$F$3:$F$517,0),1)),"NOT ASSIGNED",INDEX(Data!$C$3:$F$517,MATCH('Item IDs'!B294,Data!$F$3:$F$517,0),1))</f>
        <v>NOT ASSIGNED</v>
      </c>
      <c r="H294" s="180"/>
    </row>
    <row r="295" spans="2:8">
      <c r="B295" s="178">
        <v>1291</v>
      </c>
      <c r="C295" s="179" t="str">
        <f>IF(ISERROR(VLOOKUP(B295,Data!$F$3:$H$517,3,FALSE)),"N/A",VLOOKUP(B295,Data!$F$3:$H$517,3,FALSE))</f>
        <v>N/A</v>
      </c>
      <c r="D295" s="191" t="str">
        <f t="shared" si="15"/>
        <v xml:space="preserve"> </v>
      </c>
      <c r="E295" s="189" t="str">
        <f t="shared" si="16"/>
        <v xml:space="preserve"> </v>
      </c>
      <c r="F295" s="189" t="str">
        <f t="shared" si="17"/>
        <v xml:space="preserve"> </v>
      </c>
      <c r="G295" s="180" t="str">
        <f>IF(ISERROR(INDEX(Data!$C$3:$F$517,MATCH('Item IDs'!B295,Data!$F$3:$F$517,0),1)),"NOT ASSIGNED",INDEX(Data!$C$3:$F$517,MATCH('Item IDs'!B295,Data!$F$3:$F$517,0),1))</f>
        <v>NOT ASSIGNED</v>
      </c>
      <c r="H295" s="180"/>
    </row>
    <row r="296" spans="2:8">
      <c r="B296" s="178">
        <v>1292</v>
      </c>
      <c r="C296" s="179" t="str">
        <f>IF(ISERROR(VLOOKUP(B296,Data!$F$3:$H$517,3,FALSE)),"N/A",VLOOKUP(B296,Data!$F$3:$H$517,3,FALSE))</f>
        <v>N/A</v>
      </c>
      <c r="D296" s="191" t="str">
        <f t="shared" si="15"/>
        <v xml:space="preserve"> </v>
      </c>
      <c r="E296" s="189" t="str">
        <f t="shared" si="16"/>
        <v xml:space="preserve"> </v>
      </c>
      <c r="F296" s="189" t="str">
        <f t="shared" si="17"/>
        <v xml:space="preserve"> </v>
      </c>
      <c r="G296" s="180" t="str">
        <f>IF(ISERROR(INDEX(Data!$C$3:$F$517,MATCH('Item IDs'!B296,Data!$F$3:$F$517,0),1)),"NOT ASSIGNED",INDEX(Data!$C$3:$F$517,MATCH('Item IDs'!B296,Data!$F$3:$F$517,0),1))</f>
        <v>NOT ASSIGNED</v>
      </c>
      <c r="H296" s="180"/>
    </row>
    <row r="297" spans="2:8">
      <c r="B297" s="178">
        <v>1293</v>
      </c>
      <c r="C297" s="179" t="str">
        <f>IF(ISERROR(VLOOKUP(B297,Data!$F$3:$H$517,3,FALSE)),"N/A",VLOOKUP(B297,Data!$F$3:$H$517,3,FALSE))</f>
        <v>N/A</v>
      </c>
      <c r="D297" s="191" t="str">
        <f t="shared" si="15"/>
        <v xml:space="preserve"> </v>
      </c>
      <c r="E297" s="189" t="str">
        <f t="shared" si="16"/>
        <v xml:space="preserve"> </v>
      </c>
      <c r="F297" s="189" t="str">
        <f t="shared" si="17"/>
        <v xml:space="preserve"> </v>
      </c>
      <c r="G297" s="180" t="str">
        <f>IF(ISERROR(INDEX(Data!$C$3:$F$517,MATCH('Item IDs'!B297,Data!$F$3:$F$517,0),1)),"NOT ASSIGNED",INDEX(Data!$C$3:$F$517,MATCH('Item IDs'!B297,Data!$F$3:$F$517,0),1))</f>
        <v>NOT ASSIGNED</v>
      </c>
      <c r="H297" s="180"/>
    </row>
    <row r="298" spans="2:8">
      <c r="B298" s="178">
        <v>1294</v>
      </c>
      <c r="C298" s="179" t="str">
        <f>IF(ISERROR(VLOOKUP(B298,Data!$F$3:$H$517,3,FALSE)),"N/A",VLOOKUP(B298,Data!$F$3:$H$517,3,FALSE))</f>
        <v>N/A</v>
      </c>
      <c r="D298" s="191" t="str">
        <f t="shared" si="15"/>
        <v xml:space="preserve"> </v>
      </c>
      <c r="E298" s="189" t="str">
        <f t="shared" si="16"/>
        <v xml:space="preserve"> </v>
      </c>
      <c r="F298" s="189" t="str">
        <f t="shared" si="17"/>
        <v xml:space="preserve"> </v>
      </c>
      <c r="G298" s="180" t="str">
        <f>IF(ISERROR(INDEX(Data!$C$3:$F$517,MATCH('Item IDs'!B298,Data!$F$3:$F$517,0),1)),"NOT ASSIGNED",INDEX(Data!$C$3:$F$517,MATCH('Item IDs'!B298,Data!$F$3:$F$517,0),1))</f>
        <v>NOT ASSIGNED</v>
      </c>
      <c r="H298" s="180"/>
    </row>
    <row r="299" spans="2:8">
      <c r="B299" s="178">
        <v>1295</v>
      </c>
      <c r="C299" s="179" t="str">
        <f>IF(ISERROR(VLOOKUP(B299,Data!$F$3:$H$517,3,FALSE)),"N/A",VLOOKUP(B299,Data!$F$3:$H$517,3,FALSE))</f>
        <v>N/A</v>
      </c>
      <c r="D299" s="191" t="str">
        <f t="shared" si="15"/>
        <v xml:space="preserve"> </v>
      </c>
      <c r="E299" s="189" t="str">
        <f t="shared" si="16"/>
        <v xml:space="preserve"> </v>
      </c>
      <c r="F299" s="189" t="str">
        <f t="shared" si="17"/>
        <v xml:space="preserve"> </v>
      </c>
      <c r="G299" s="180" t="str">
        <f>IF(ISERROR(INDEX(Data!$C$3:$F$517,MATCH('Item IDs'!B299,Data!$F$3:$F$517,0),1)),"NOT ASSIGNED",INDEX(Data!$C$3:$F$517,MATCH('Item IDs'!B299,Data!$F$3:$F$517,0),1))</f>
        <v>NOT ASSIGNED</v>
      </c>
      <c r="H299" s="180"/>
    </row>
    <row r="300" spans="2:8">
      <c r="B300" s="178">
        <v>1296</v>
      </c>
      <c r="C300" s="179" t="str">
        <f>IF(ISERROR(VLOOKUP(B300,Data!$F$3:$H$517,3,FALSE)),"N/A",VLOOKUP(B300,Data!$F$3:$H$517,3,FALSE))</f>
        <v>N/A</v>
      </c>
      <c r="D300" s="191" t="str">
        <f t="shared" si="15"/>
        <v xml:space="preserve"> </v>
      </c>
      <c r="E300" s="189" t="str">
        <f t="shared" si="16"/>
        <v xml:space="preserve"> </v>
      </c>
      <c r="F300" s="189" t="str">
        <f t="shared" si="17"/>
        <v xml:space="preserve"> </v>
      </c>
      <c r="G300" s="180" t="str">
        <f>IF(ISERROR(INDEX(Data!$C$3:$F$517,MATCH('Item IDs'!B300,Data!$F$3:$F$517,0),1)),"NOT ASSIGNED",INDEX(Data!$C$3:$F$517,MATCH('Item IDs'!B300,Data!$F$3:$F$517,0),1))</f>
        <v>NOT ASSIGNED</v>
      </c>
      <c r="H300" s="180"/>
    </row>
    <row r="301" spans="2:8">
      <c r="B301" s="178">
        <v>1297</v>
      </c>
      <c r="C301" s="179" t="str">
        <f>IF(ISERROR(VLOOKUP(B301,Data!$F$3:$H$517,3,FALSE)),"N/A",VLOOKUP(B301,Data!$F$3:$H$517,3,FALSE))</f>
        <v>N/A</v>
      </c>
      <c r="D301" s="191" t="str">
        <f t="shared" si="15"/>
        <v xml:space="preserve"> </v>
      </c>
      <c r="E301" s="189" t="str">
        <f t="shared" si="16"/>
        <v xml:space="preserve"> </v>
      </c>
      <c r="F301" s="189" t="str">
        <f t="shared" si="17"/>
        <v xml:space="preserve"> </v>
      </c>
      <c r="G301" s="180" t="str">
        <f>IF(ISERROR(INDEX(Data!$C$3:$F$517,MATCH('Item IDs'!B301,Data!$F$3:$F$517,0),1)),"NOT ASSIGNED",INDEX(Data!$C$3:$F$517,MATCH('Item IDs'!B301,Data!$F$3:$F$517,0),1))</f>
        <v>NOT ASSIGNED</v>
      </c>
      <c r="H301" s="180"/>
    </row>
    <row r="302" spans="2:8">
      <c r="B302" s="178">
        <v>1298</v>
      </c>
      <c r="C302" s="179" t="str">
        <f>IF(ISERROR(VLOOKUP(B302,Data!$F$3:$H$517,3,FALSE)),"N/A",VLOOKUP(B302,Data!$F$3:$H$517,3,FALSE))</f>
        <v>N/A</v>
      </c>
      <c r="D302" s="191" t="str">
        <f t="shared" ref="D302:D304" si="18">IF(ISERROR(FIND(".",C302))," ",LEFT(C302,FIND(".",C302)-1))</f>
        <v xml:space="preserve"> </v>
      </c>
      <c r="E302" s="189" t="str">
        <f t="shared" ref="E302:E304" si="19">IF(ISERROR(FIND(".",C302))," ",LEFT(RIGHT(C302,LEN(C302)-FIND(".",C302)),FIND(".",RIGHT(C302,LEN(C302)-FIND(".",C302)))-1))</f>
        <v xml:space="preserve"> </v>
      </c>
      <c r="F302" s="189" t="str">
        <f t="shared" ref="F302:F304" si="20">IF(ISERROR(FIND("(",C302))," ",MID(C302,FIND("(",C302)+1,FIND(")",C302)-FIND("(",C302)-1))</f>
        <v xml:space="preserve"> </v>
      </c>
      <c r="G302" s="180" t="str">
        <f>IF(ISERROR(INDEX(Data!$C$3:$F$517,MATCH('Item IDs'!B302,Data!$F$3:$F$517,0),1)),"NOT ASSIGNED",INDEX(Data!$C$3:$F$517,MATCH('Item IDs'!B302,Data!$F$3:$F$517,0),1))</f>
        <v>NOT ASSIGNED</v>
      </c>
      <c r="H302" s="180"/>
    </row>
    <row r="303" spans="2:8">
      <c r="B303" s="178">
        <v>1299</v>
      </c>
      <c r="C303" s="179" t="str">
        <f>IF(ISERROR(VLOOKUP(B303,Data!$F$3:$H$517,3,FALSE)),"N/A",VLOOKUP(B303,Data!$F$3:$H$517,3,FALSE))</f>
        <v>N/A</v>
      </c>
      <c r="D303" s="191" t="str">
        <f t="shared" si="18"/>
        <v xml:space="preserve"> </v>
      </c>
      <c r="E303" s="189" t="str">
        <f t="shared" si="19"/>
        <v xml:space="preserve"> </v>
      </c>
      <c r="F303" s="189" t="str">
        <f t="shared" si="20"/>
        <v xml:space="preserve"> </v>
      </c>
      <c r="G303" s="180" t="str">
        <f>IF(ISERROR(INDEX(Data!$C$3:$F$517,MATCH('Item IDs'!B303,Data!$F$3:$F$517,0),1)),"NOT ASSIGNED",INDEX(Data!$C$3:$F$517,MATCH('Item IDs'!B303,Data!$F$3:$F$517,0),1))</f>
        <v>NOT ASSIGNED</v>
      </c>
      <c r="H303" s="180"/>
    </row>
    <row r="304" spans="2:8">
      <c r="B304" s="181">
        <v>1300</v>
      </c>
      <c r="C304" s="182" t="str">
        <f>IF(ISERROR(VLOOKUP(B304,Data!$F$3:$H$517,3,FALSE)),"N/A",VLOOKUP(B304,Data!$F$3:$H$517,3,FALSE))</f>
        <v>N/A</v>
      </c>
      <c r="D304" s="192" t="str">
        <f t="shared" si="18"/>
        <v xml:space="preserve"> </v>
      </c>
      <c r="E304" s="190" t="str">
        <f t="shared" si="19"/>
        <v xml:space="preserve"> </v>
      </c>
      <c r="F304" s="190" t="str">
        <f t="shared" si="20"/>
        <v xml:space="preserve"> </v>
      </c>
      <c r="G304" s="183" t="str">
        <f>IF(ISERROR(INDEX(Data!$C$3:$F$517,MATCH('Item IDs'!B304,Data!$F$3:$F$517,0),1)),"NOT ASSIGNED",INDEX(Data!$C$3:$F$517,MATCH('Item IDs'!B304,Data!$F$3:$F$517,0),1))</f>
        <v>NOT ASSIGNED</v>
      </c>
      <c r="H304" s="183"/>
    </row>
    <row r="305" spans="2:7">
      <c r="B305" s="171"/>
      <c r="C305" s="171"/>
      <c r="D305" s="171"/>
      <c r="E305" s="171"/>
      <c r="F305" s="171"/>
      <c r="G305" s="170"/>
    </row>
    <row r="306" spans="2:7">
      <c r="B306" s="171"/>
      <c r="C306" s="171"/>
      <c r="D306" s="171"/>
      <c r="E306" s="171"/>
      <c r="F306" s="171"/>
      <c r="G306" s="170"/>
    </row>
    <row r="307" spans="2:7">
      <c r="B307" s="171"/>
      <c r="C307" s="171"/>
      <c r="D307" s="171"/>
      <c r="E307" s="171"/>
      <c r="F307" s="171"/>
      <c r="G307" s="170"/>
    </row>
    <row r="308" spans="2:7">
      <c r="B308" s="171"/>
      <c r="C308" s="171"/>
      <c r="D308" s="171"/>
      <c r="E308" s="171"/>
      <c r="F308" s="171"/>
      <c r="G308" s="170"/>
    </row>
    <row r="309" spans="2:7">
      <c r="B309" s="171"/>
      <c r="C309" s="171"/>
      <c r="D309" s="171"/>
      <c r="E309" s="171"/>
      <c r="F309" s="171"/>
      <c r="G309" s="170"/>
    </row>
    <row r="310" spans="2:7">
      <c r="B310" s="171"/>
      <c r="C310" s="171"/>
      <c r="D310" s="171"/>
      <c r="E310" s="171"/>
      <c r="F310" s="171"/>
      <c r="G310" s="170"/>
    </row>
    <row r="311" spans="2:7">
      <c r="B311" s="171"/>
      <c r="C311" s="171"/>
      <c r="D311" s="171"/>
      <c r="E311" s="171"/>
      <c r="F311" s="171"/>
      <c r="G311" s="170"/>
    </row>
    <row r="312" spans="2:7">
      <c r="B312" s="171"/>
      <c r="C312" s="171"/>
      <c r="D312" s="171"/>
      <c r="E312" s="171"/>
      <c r="F312" s="171"/>
      <c r="G312" s="170"/>
    </row>
    <row r="313" spans="2:7">
      <c r="B313" s="171"/>
      <c r="C313" s="171"/>
      <c r="D313" s="171"/>
      <c r="E313" s="171"/>
      <c r="F313" s="171"/>
      <c r="G313" s="170"/>
    </row>
    <row r="314" spans="2:7">
      <c r="B314" s="171"/>
      <c r="C314" s="171"/>
      <c r="D314" s="171"/>
      <c r="E314" s="171"/>
      <c r="F314" s="171"/>
      <c r="G314" s="170"/>
    </row>
    <row r="315" spans="2:7">
      <c r="B315" s="171"/>
      <c r="C315" s="171"/>
      <c r="D315" s="171"/>
      <c r="E315" s="171"/>
      <c r="F315" s="171"/>
      <c r="G315" s="170"/>
    </row>
    <row r="316" spans="2:7">
      <c r="B316" s="171"/>
      <c r="C316" s="171"/>
      <c r="D316" s="171"/>
      <c r="E316" s="171"/>
      <c r="F316" s="171"/>
      <c r="G316" s="170"/>
    </row>
    <row r="317" spans="2:7">
      <c r="B317" s="171"/>
      <c r="C317" s="171"/>
      <c r="D317" s="171"/>
      <c r="E317" s="171"/>
      <c r="F317" s="171"/>
      <c r="G317" s="170"/>
    </row>
    <row r="318" spans="2:7">
      <c r="B318" s="171"/>
      <c r="C318" s="171"/>
      <c r="D318" s="171"/>
      <c r="E318" s="171"/>
      <c r="F318" s="171"/>
      <c r="G318" s="170"/>
    </row>
    <row r="319" spans="2:7">
      <c r="B319" s="171"/>
      <c r="C319" s="171"/>
      <c r="D319" s="171"/>
      <c r="E319" s="171"/>
      <c r="F319" s="171"/>
      <c r="G319" s="170"/>
    </row>
    <row r="320" spans="2:7">
      <c r="B320" s="171"/>
      <c r="C320" s="171"/>
      <c r="D320" s="171"/>
      <c r="E320" s="171"/>
      <c r="F320" s="171"/>
      <c r="G320" s="170"/>
    </row>
    <row r="321" spans="2:7">
      <c r="B321" s="171"/>
      <c r="C321" s="171"/>
      <c r="D321" s="171"/>
      <c r="E321" s="171"/>
      <c r="F321" s="171"/>
      <c r="G321" s="170"/>
    </row>
    <row r="322" spans="2:7">
      <c r="B322" s="171"/>
      <c r="C322" s="171"/>
      <c r="D322" s="171"/>
      <c r="E322" s="171"/>
      <c r="F322" s="171"/>
      <c r="G322" s="170"/>
    </row>
    <row r="323" spans="2:7">
      <c r="B323" s="171"/>
      <c r="C323" s="171"/>
      <c r="D323" s="171"/>
      <c r="E323" s="171"/>
      <c r="F323" s="171"/>
      <c r="G323" s="170"/>
    </row>
    <row r="324" spans="2:7">
      <c r="B324" s="171"/>
      <c r="C324" s="171"/>
      <c r="D324" s="171"/>
      <c r="E324" s="171"/>
      <c r="F324" s="171"/>
      <c r="G324" s="170"/>
    </row>
    <row r="325" spans="2:7">
      <c r="B325" s="171"/>
      <c r="C325" s="171"/>
      <c r="D325" s="171"/>
      <c r="E325" s="171"/>
      <c r="F325" s="171"/>
      <c r="G325" s="170"/>
    </row>
    <row r="326" spans="2:7">
      <c r="B326" s="171"/>
      <c r="C326" s="171"/>
      <c r="D326" s="171"/>
      <c r="E326" s="171"/>
      <c r="F326" s="171"/>
      <c r="G326" s="170"/>
    </row>
    <row r="327" spans="2:7">
      <c r="B327" s="171"/>
      <c r="C327" s="171"/>
      <c r="D327" s="171"/>
      <c r="E327" s="171"/>
      <c r="F327" s="171"/>
      <c r="G327" s="170"/>
    </row>
    <row r="328" spans="2:7">
      <c r="B328" s="171"/>
      <c r="C328" s="171"/>
      <c r="D328" s="171"/>
      <c r="E328" s="171"/>
      <c r="F328" s="171"/>
      <c r="G328" s="170"/>
    </row>
    <row r="329" spans="2:7">
      <c r="B329" s="171"/>
      <c r="C329" s="171"/>
      <c r="D329" s="171"/>
      <c r="E329" s="171"/>
      <c r="F329" s="171"/>
      <c r="G329" s="170"/>
    </row>
    <row r="330" spans="2:7">
      <c r="B330" s="171"/>
      <c r="C330" s="171"/>
      <c r="D330" s="171"/>
      <c r="E330" s="171"/>
      <c r="F330" s="171"/>
      <c r="G330" s="170"/>
    </row>
    <row r="331" spans="2:7">
      <c r="B331" s="171"/>
      <c r="C331" s="171"/>
      <c r="D331" s="171"/>
      <c r="E331" s="171"/>
      <c r="F331" s="171"/>
      <c r="G331" s="170"/>
    </row>
    <row r="332" spans="2:7">
      <c r="B332" s="171"/>
      <c r="C332" s="171"/>
      <c r="D332" s="171"/>
      <c r="E332" s="171"/>
      <c r="F332" s="171"/>
      <c r="G332" s="170"/>
    </row>
    <row r="333" spans="2:7">
      <c r="B333" s="171"/>
      <c r="C333" s="171"/>
      <c r="D333" s="171"/>
      <c r="E333" s="171"/>
      <c r="F333" s="171"/>
      <c r="G333" s="170"/>
    </row>
    <row r="334" spans="2:7">
      <c r="B334" s="171"/>
      <c r="C334" s="171"/>
      <c r="D334" s="171"/>
      <c r="E334" s="171"/>
      <c r="F334" s="171"/>
      <c r="G334" s="170"/>
    </row>
    <row r="335" spans="2:7">
      <c r="B335" s="171"/>
      <c r="C335" s="171"/>
      <c r="D335" s="171"/>
      <c r="E335" s="171"/>
      <c r="F335" s="171"/>
      <c r="G335" s="170"/>
    </row>
    <row r="336" spans="2:7">
      <c r="B336" s="171"/>
      <c r="C336" s="171"/>
      <c r="D336" s="171"/>
      <c r="E336" s="171"/>
      <c r="F336" s="171"/>
      <c r="G336" s="170"/>
    </row>
    <row r="337" spans="2:7">
      <c r="B337" s="171"/>
      <c r="C337" s="171"/>
      <c r="D337" s="171"/>
      <c r="E337" s="171"/>
      <c r="F337" s="171"/>
      <c r="G337" s="170"/>
    </row>
    <row r="338" spans="2:7">
      <c r="B338" s="171"/>
      <c r="C338" s="171"/>
      <c r="D338" s="171"/>
      <c r="E338" s="171"/>
      <c r="F338" s="171"/>
      <c r="G338" s="170"/>
    </row>
    <row r="339" spans="2:7">
      <c r="B339" s="171"/>
      <c r="C339" s="171"/>
      <c r="D339" s="171"/>
      <c r="E339" s="171"/>
      <c r="F339" s="171"/>
      <c r="G339" s="170"/>
    </row>
    <row r="340" spans="2:7">
      <c r="B340" s="171"/>
      <c r="C340" s="171"/>
      <c r="D340" s="171"/>
      <c r="E340" s="171"/>
      <c r="F340" s="171"/>
      <c r="G340" s="170"/>
    </row>
    <row r="341" spans="2:7">
      <c r="B341" s="171"/>
      <c r="C341" s="171"/>
      <c r="D341" s="171"/>
      <c r="E341" s="171"/>
      <c r="F341" s="171"/>
      <c r="G341" s="170"/>
    </row>
    <row r="342" spans="2:7">
      <c r="B342" s="171"/>
      <c r="C342" s="171"/>
      <c r="D342" s="171"/>
      <c r="E342" s="171"/>
      <c r="F342" s="171"/>
      <c r="G342" s="170"/>
    </row>
    <row r="343" spans="2:7">
      <c r="B343" s="171"/>
      <c r="C343" s="171"/>
      <c r="D343" s="171"/>
      <c r="E343" s="171"/>
      <c r="F343" s="171"/>
      <c r="G343" s="170"/>
    </row>
    <row r="344" spans="2:7">
      <c r="B344" s="171"/>
      <c r="C344" s="171"/>
      <c r="D344" s="171"/>
      <c r="E344" s="171"/>
      <c r="F344" s="171"/>
      <c r="G344" s="170"/>
    </row>
    <row r="345" spans="2:7">
      <c r="B345" s="171"/>
      <c r="C345" s="171"/>
      <c r="D345" s="171"/>
      <c r="E345" s="171"/>
      <c r="F345" s="171"/>
      <c r="G345" s="170"/>
    </row>
    <row r="346" spans="2:7">
      <c r="B346" s="171"/>
      <c r="C346" s="171"/>
      <c r="D346" s="171"/>
      <c r="E346" s="171"/>
      <c r="F346" s="171"/>
      <c r="G346" s="170"/>
    </row>
    <row r="347" spans="2:7">
      <c r="B347" s="171"/>
      <c r="C347" s="171"/>
      <c r="D347" s="171"/>
      <c r="E347" s="171"/>
      <c r="F347" s="171"/>
      <c r="G347" s="170"/>
    </row>
    <row r="348" spans="2:7">
      <c r="B348" s="171"/>
      <c r="C348" s="171"/>
      <c r="D348" s="171"/>
      <c r="E348" s="171"/>
      <c r="F348" s="171"/>
      <c r="G348" s="170"/>
    </row>
    <row r="349" spans="2:7">
      <c r="B349" s="171"/>
      <c r="C349" s="171"/>
      <c r="D349" s="171"/>
      <c r="E349" s="171"/>
      <c r="F349" s="171"/>
      <c r="G349" s="170"/>
    </row>
    <row r="350" spans="2:7">
      <c r="B350" s="171"/>
      <c r="C350" s="171"/>
      <c r="D350" s="171"/>
      <c r="E350" s="171"/>
      <c r="F350" s="171"/>
      <c r="G350" s="170"/>
    </row>
    <row r="351" spans="2:7">
      <c r="B351" s="171"/>
      <c r="C351" s="171"/>
      <c r="D351" s="171"/>
      <c r="E351" s="171"/>
      <c r="F351" s="171"/>
      <c r="G351" s="170"/>
    </row>
    <row r="352" spans="2:7">
      <c r="B352" s="171"/>
      <c r="C352" s="171"/>
      <c r="D352" s="171"/>
      <c r="E352" s="171"/>
      <c r="F352" s="171"/>
      <c r="G352" s="170"/>
    </row>
    <row r="353" spans="2:7">
      <c r="B353" s="171"/>
      <c r="C353" s="171"/>
      <c r="D353" s="171"/>
      <c r="E353" s="171"/>
      <c r="F353" s="171"/>
      <c r="G353" s="170"/>
    </row>
    <row r="354" spans="2:7">
      <c r="B354" s="171"/>
      <c r="C354" s="171"/>
      <c r="D354" s="171"/>
      <c r="E354" s="171"/>
      <c r="F354" s="171"/>
      <c r="G354" s="170"/>
    </row>
    <row r="355" spans="2:7">
      <c r="B355" s="171"/>
      <c r="C355" s="171"/>
      <c r="D355" s="171"/>
      <c r="E355" s="171"/>
      <c r="F355" s="171"/>
      <c r="G355" s="170"/>
    </row>
    <row r="356" spans="2:7">
      <c r="B356" s="171"/>
      <c r="C356" s="171"/>
      <c r="D356" s="171"/>
      <c r="E356" s="171"/>
      <c r="F356" s="171"/>
      <c r="G356" s="170"/>
    </row>
    <row r="357" spans="2:7">
      <c r="B357" s="171"/>
      <c r="C357" s="171"/>
      <c r="D357" s="171"/>
      <c r="E357" s="171"/>
      <c r="F357" s="171"/>
      <c r="G357" s="170"/>
    </row>
    <row r="358" spans="2:7">
      <c r="B358" s="171"/>
      <c r="C358" s="171"/>
      <c r="D358" s="171"/>
      <c r="E358" s="171"/>
      <c r="F358" s="171"/>
      <c r="G358" s="170"/>
    </row>
    <row r="359" spans="2:7">
      <c r="B359" s="171"/>
      <c r="C359" s="171"/>
      <c r="D359" s="171"/>
      <c r="E359" s="171"/>
      <c r="F359" s="171"/>
      <c r="G359" s="170"/>
    </row>
    <row r="360" spans="2:7">
      <c r="B360" s="171"/>
      <c r="C360" s="171"/>
      <c r="D360" s="171"/>
      <c r="E360" s="171"/>
      <c r="F360" s="171"/>
      <c r="G360" s="170"/>
    </row>
    <row r="361" spans="2:7">
      <c r="B361" s="171"/>
      <c r="C361" s="171"/>
      <c r="D361" s="171"/>
      <c r="E361" s="171"/>
      <c r="F361" s="171"/>
      <c r="G361" s="170"/>
    </row>
    <row r="362" spans="2:7">
      <c r="B362" s="171"/>
      <c r="C362" s="171"/>
      <c r="D362" s="171"/>
      <c r="E362" s="171"/>
      <c r="F362" s="171"/>
      <c r="G362" s="170"/>
    </row>
    <row r="363" spans="2:7">
      <c r="B363" s="171"/>
      <c r="C363" s="171"/>
      <c r="D363" s="171"/>
      <c r="E363" s="171"/>
      <c r="F363" s="171"/>
      <c r="G363" s="170"/>
    </row>
    <row r="364" spans="2:7">
      <c r="B364" s="171"/>
      <c r="C364" s="171"/>
      <c r="D364" s="171"/>
      <c r="E364" s="171"/>
      <c r="F364" s="171"/>
      <c r="G364" s="170"/>
    </row>
    <row r="365" spans="2:7">
      <c r="B365" s="171"/>
      <c r="C365" s="171"/>
      <c r="D365" s="171"/>
      <c r="E365" s="171"/>
      <c r="F365" s="171"/>
      <c r="G365" s="170"/>
    </row>
    <row r="366" spans="2:7">
      <c r="B366" s="171"/>
      <c r="C366" s="171"/>
      <c r="D366" s="171"/>
      <c r="E366" s="171"/>
      <c r="F366" s="171"/>
      <c r="G366" s="170"/>
    </row>
    <row r="367" spans="2:7">
      <c r="B367" s="171"/>
      <c r="C367" s="171"/>
      <c r="D367" s="171"/>
      <c r="E367" s="171"/>
      <c r="F367" s="171"/>
      <c r="G367" s="170"/>
    </row>
    <row r="368" spans="2:7">
      <c r="B368" s="171"/>
      <c r="C368" s="171"/>
      <c r="D368" s="171"/>
      <c r="E368" s="171"/>
      <c r="F368" s="171"/>
      <c r="G368" s="170"/>
    </row>
    <row r="369" spans="2:7">
      <c r="B369" s="171"/>
      <c r="C369" s="171"/>
      <c r="D369" s="171"/>
      <c r="E369" s="171"/>
      <c r="F369" s="171"/>
      <c r="G369" s="170"/>
    </row>
    <row r="370" spans="2:7">
      <c r="B370" s="171"/>
      <c r="C370" s="171"/>
      <c r="D370" s="171"/>
      <c r="E370" s="171"/>
      <c r="F370" s="171"/>
      <c r="G370" s="170"/>
    </row>
    <row r="371" spans="2:7">
      <c r="B371" s="171"/>
      <c r="C371" s="171"/>
      <c r="D371" s="171"/>
      <c r="E371" s="171"/>
      <c r="F371" s="171"/>
      <c r="G371" s="170"/>
    </row>
    <row r="372" spans="2:7">
      <c r="B372" s="171"/>
      <c r="C372" s="171"/>
      <c r="D372" s="171"/>
      <c r="E372" s="171"/>
      <c r="F372" s="171"/>
      <c r="G372" s="170"/>
    </row>
    <row r="373" spans="2:7">
      <c r="B373" s="171"/>
      <c r="C373" s="171"/>
      <c r="D373" s="171"/>
      <c r="E373" s="171"/>
      <c r="F373" s="171"/>
      <c r="G373" s="170"/>
    </row>
    <row r="374" spans="2:7">
      <c r="B374" s="171"/>
      <c r="C374" s="171"/>
      <c r="D374" s="171"/>
      <c r="E374" s="171"/>
      <c r="F374" s="171"/>
      <c r="G374" s="170"/>
    </row>
    <row r="375" spans="2:7">
      <c r="B375" s="171"/>
      <c r="C375" s="171"/>
      <c r="D375" s="171"/>
      <c r="E375" s="171"/>
      <c r="F375" s="171"/>
      <c r="G375" s="170"/>
    </row>
    <row r="376" spans="2:7">
      <c r="B376" s="171"/>
      <c r="C376" s="171"/>
      <c r="D376" s="171"/>
      <c r="E376" s="171"/>
      <c r="F376" s="171"/>
      <c r="G376" s="170"/>
    </row>
    <row r="377" spans="2:7">
      <c r="B377" s="171"/>
      <c r="C377" s="171"/>
      <c r="D377" s="171"/>
      <c r="E377" s="171"/>
      <c r="F377" s="171"/>
      <c r="G377" s="170"/>
    </row>
    <row r="378" spans="2:7">
      <c r="B378" s="171"/>
      <c r="C378" s="171"/>
      <c r="D378" s="171"/>
      <c r="E378" s="171"/>
      <c r="F378" s="171"/>
      <c r="G378" s="170"/>
    </row>
    <row r="379" spans="2:7">
      <c r="B379" s="171"/>
      <c r="C379" s="171"/>
      <c r="D379" s="171"/>
      <c r="E379" s="171"/>
      <c r="F379" s="171"/>
      <c r="G379" s="170"/>
    </row>
    <row r="380" spans="2:7">
      <c r="B380" s="171"/>
      <c r="C380" s="171"/>
      <c r="D380" s="171"/>
      <c r="E380" s="171"/>
      <c r="F380" s="171"/>
      <c r="G380" s="170"/>
    </row>
    <row r="381" spans="2:7">
      <c r="B381" s="171"/>
      <c r="C381" s="171"/>
      <c r="D381" s="171"/>
      <c r="E381" s="171"/>
      <c r="F381" s="171"/>
      <c r="G381" s="170"/>
    </row>
    <row r="382" spans="2:7">
      <c r="B382" s="171"/>
      <c r="C382" s="171"/>
      <c r="D382" s="171"/>
      <c r="E382" s="171"/>
      <c r="F382" s="171"/>
      <c r="G382" s="170"/>
    </row>
    <row r="383" spans="2:7">
      <c r="B383" s="171"/>
      <c r="C383" s="171"/>
      <c r="D383" s="171"/>
      <c r="E383" s="171"/>
      <c r="F383" s="171"/>
      <c r="G383" s="170"/>
    </row>
    <row r="384" spans="2:7">
      <c r="B384" s="171"/>
      <c r="C384" s="171"/>
      <c r="D384" s="171"/>
      <c r="E384" s="171"/>
      <c r="F384" s="171"/>
      <c r="G384" s="170"/>
    </row>
    <row r="385" spans="2:7">
      <c r="B385" s="171"/>
      <c r="C385" s="171"/>
      <c r="D385" s="171"/>
      <c r="E385" s="171"/>
      <c r="F385" s="171"/>
      <c r="G385" s="170"/>
    </row>
    <row r="386" spans="2:7">
      <c r="B386" s="171"/>
      <c r="C386" s="171"/>
      <c r="D386" s="171"/>
      <c r="E386" s="171"/>
      <c r="F386" s="171"/>
      <c r="G386" s="170"/>
    </row>
    <row r="387" spans="2:7">
      <c r="B387" s="171"/>
      <c r="C387" s="171"/>
      <c r="D387" s="171"/>
      <c r="E387" s="171"/>
      <c r="F387" s="171"/>
      <c r="G387" s="170"/>
    </row>
    <row r="388" spans="2:7">
      <c r="B388" s="171"/>
      <c r="C388" s="171"/>
      <c r="D388" s="171"/>
      <c r="E388" s="171"/>
      <c r="F388" s="171"/>
      <c r="G388" s="170"/>
    </row>
    <row r="389" spans="2:7">
      <c r="B389" s="171"/>
      <c r="C389" s="171"/>
      <c r="D389" s="171"/>
      <c r="E389" s="171"/>
      <c r="F389" s="171"/>
      <c r="G389" s="170"/>
    </row>
    <row r="390" spans="2:7">
      <c r="B390" s="171"/>
      <c r="C390" s="171"/>
      <c r="D390" s="171"/>
      <c r="E390" s="171"/>
      <c r="F390" s="171"/>
      <c r="G390" s="170"/>
    </row>
    <row r="391" spans="2:7">
      <c r="B391" s="171"/>
      <c r="C391" s="171"/>
      <c r="D391" s="171"/>
      <c r="E391" s="171"/>
      <c r="F391" s="171"/>
      <c r="G391" s="170"/>
    </row>
    <row r="392" spans="2:7">
      <c r="B392" s="171"/>
      <c r="C392" s="171"/>
      <c r="D392" s="171"/>
      <c r="E392" s="171"/>
      <c r="F392" s="171"/>
      <c r="G392" s="170"/>
    </row>
    <row r="393" spans="2:7">
      <c r="B393" s="171"/>
      <c r="C393" s="171"/>
      <c r="D393" s="171"/>
      <c r="E393" s="171"/>
      <c r="F393" s="171"/>
      <c r="G393" s="170"/>
    </row>
    <row r="394" spans="2:7">
      <c r="B394" s="171"/>
      <c r="C394" s="171"/>
      <c r="D394" s="171"/>
      <c r="E394" s="171"/>
      <c r="F394" s="171"/>
      <c r="G394" s="170"/>
    </row>
    <row r="395" spans="2:7">
      <c r="B395" s="171"/>
      <c r="C395" s="171"/>
      <c r="D395" s="171"/>
      <c r="E395" s="171"/>
      <c r="F395" s="171"/>
      <c r="G395" s="170"/>
    </row>
    <row r="396" spans="2:7">
      <c r="B396" s="171"/>
      <c r="C396" s="171"/>
      <c r="D396" s="171"/>
      <c r="E396" s="171"/>
      <c r="F396" s="171"/>
      <c r="G396" s="170"/>
    </row>
    <row r="397" spans="2:7">
      <c r="B397" s="171"/>
      <c r="C397" s="171"/>
      <c r="D397" s="171"/>
      <c r="E397" s="171"/>
      <c r="F397" s="171"/>
      <c r="G397" s="170"/>
    </row>
    <row r="398" spans="2:7">
      <c r="B398" s="171"/>
      <c r="C398" s="171"/>
      <c r="D398" s="171"/>
      <c r="E398" s="171"/>
      <c r="F398" s="171"/>
      <c r="G398" s="170"/>
    </row>
    <row r="399" spans="2:7">
      <c r="B399" s="171"/>
      <c r="C399" s="171"/>
      <c r="D399" s="171"/>
      <c r="E399" s="171"/>
      <c r="F399" s="171"/>
      <c r="G399" s="170"/>
    </row>
    <row r="400" spans="2:7">
      <c r="B400" s="171"/>
      <c r="C400" s="171"/>
      <c r="D400" s="171"/>
      <c r="E400" s="171"/>
      <c r="F400" s="171"/>
      <c r="G400" s="170"/>
    </row>
    <row r="401" spans="2:7">
      <c r="B401" s="171"/>
      <c r="C401" s="171"/>
      <c r="D401" s="171"/>
      <c r="E401" s="171"/>
      <c r="F401" s="171"/>
      <c r="G401" s="170"/>
    </row>
    <row r="402" spans="2:7">
      <c r="B402" s="171"/>
      <c r="C402" s="171"/>
      <c r="D402" s="171"/>
      <c r="E402" s="171"/>
      <c r="F402" s="171"/>
      <c r="G402" s="170"/>
    </row>
    <row r="403" spans="2:7">
      <c r="B403" s="171"/>
      <c r="C403" s="171"/>
      <c r="D403" s="171"/>
      <c r="E403" s="171"/>
      <c r="F403" s="171"/>
      <c r="G403" s="170"/>
    </row>
    <row r="404" spans="2:7">
      <c r="B404" s="171"/>
      <c r="C404" s="171"/>
      <c r="D404" s="171"/>
      <c r="E404" s="171"/>
      <c r="F404" s="171"/>
      <c r="G404" s="170"/>
    </row>
    <row r="405" spans="2:7">
      <c r="B405" s="171"/>
      <c r="C405" s="171"/>
      <c r="D405" s="171"/>
      <c r="E405" s="171"/>
      <c r="F405" s="171"/>
      <c r="G405" s="170"/>
    </row>
    <row r="406" spans="2:7">
      <c r="B406" s="171"/>
      <c r="C406" s="171"/>
      <c r="D406" s="171"/>
      <c r="E406" s="171"/>
      <c r="F406" s="171"/>
      <c r="G406" s="170"/>
    </row>
    <row r="407" spans="2:7">
      <c r="B407" s="171"/>
      <c r="C407" s="171"/>
      <c r="D407" s="171"/>
      <c r="E407" s="171"/>
      <c r="F407" s="171"/>
      <c r="G407" s="170"/>
    </row>
    <row r="408" spans="2:7">
      <c r="B408" s="171"/>
      <c r="C408" s="171"/>
      <c r="D408" s="171"/>
      <c r="E408" s="171"/>
      <c r="F408" s="171"/>
      <c r="G408" s="170"/>
    </row>
    <row r="409" spans="2:7">
      <c r="B409" s="171"/>
      <c r="C409" s="171"/>
      <c r="D409" s="171"/>
      <c r="E409" s="171"/>
      <c r="F409" s="171"/>
      <c r="G409" s="170"/>
    </row>
    <row r="410" spans="2:7">
      <c r="B410" s="171"/>
      <c r="C410" s="171"/>
      <c r="D410" s="171"/>
      <c r="E410" s="171"/>
      <c r="F410" s="171"/>
      <c r="G410" s="170"/>
    </row>
    <row r="411" spans="2:7">
      <c r="B411" s="171"/>
      <c r="C411" s="171"/>
      <c r="D411" s="171"/>
      <c r="E411" s="171"/>
      <c r="F411" s="171"/>
      <c r="G411" s="170"/>
    </row>
    <row r="412" spans="2:7">
      <c r="B412" s="171"/>
      <c r="C412" s="171"/>
      <c r="D412" s="171"/>
      <c r="E412" s="171"/>
      <c r="F412" s="171"/>
      <c r="G412" s="170"/>
    </row>
    <row r="413" spans="2:7">
      <c r="B413" s="171"/>
      <c r="C413" s="171"/>
      <c r="D413" s="171"/>
      <c r="E413" s="171"/>
      <c r="F413" s="171"/>
      <c r="G413" s="170"/>
    </row>
    <row r="414" spans="2:7">
      <c r="B414" s="171"/>
      <c r="C414" s="171"/>
      <c r="D414" s="171"/>
      <c r="E414" s="171"/>
      <c r="F414" s="171"/>
      <c r="G414" s="170"/>
    </row>
    <row r="415" spans="2:7">
      <c r="B415" s="171"/>
      <c r="C415" s="171"/>
      <c r="D415" s="171"/>
      <c r="E415" s="171"/>
      <c r="F415" s="171"/>
      <c r="G415" s="170"/>
    </row>
    <row r="416" spans="2:7">
      <c r="B416" s="171"/>
      <c r="C416" s="171"/>
      <c r="D416" s="171"/>
      <c r="E416" s="171"/>
      <c r="F416" s="171"/>
      <c r="G416" s="170"/>
    </row>
    <row r="417" spans="2:7">
      <c r="B417" s="171"/>
      <c r="C417" s="171"/>
      <c r="D417" s="171"/>
      <c r="E417" s="171"/>
      <c r="F417" s="171"/>
      <c r="G417" s="170"/>
    </row>
    <row r="418" spans="2:7">
      <c r="B418" s="171"/>
      <c r="C418" s="171"/>
      <c r="D418" s="171"/>
      <c r="E418" s="171"/>
      <c r="F418" s="171"/>
      <c r="G418" s="170"/>
    </row>
    <row r="419" spans="2:7">
      <c r="B419" s="171"/>
      <c r="C419" s="171"/>
      <c r="D419" s="171"/>
      <c r="E419" s="171"/>
      <c r="F419" s="171"/>
      <c r="G419" s="170"/>
    </row>
    <row r="420" spans="2:7">
      <c r="B420" s="171"/>
      <c r="C420" s="171"/>
      <c r="D420" s="171"/>
      <c r="E420" s="171"/>
      <c r="F420" s="171"/>
      <c r="G420" s="170"/>
    </row>
    <row r="421" spans="2:7">
      <c r="B421" s="171"/>
      <c r="C421" s="171"/>
      <c r="D421" s="171"/>
      <c r="E421" s="171"/>
      <c r="F421" s="171"/>
      <c r="G421" s="170"/>
    </row>
    <row r="422" spans="2:7">
      <c r="B422" s="171"/>
      <c r="C422" s="171"/>
      <c r="D422" s="171"/>
      <c r="E422" s="171"/>
      <c r="F422" s="171"/>
      <c r="G422" s="170"/>
    </row>
    <row r="423" spans="2:7">
      <c r="B423" s="171"/>
      <c r="C423" s="171"/>
      <c r="D423" s="171"/>
      <c r="E423" s="171"/>
      <c r="F423" s="171"/>
      <c r="G423" s="170"/>
    </row>
    <row r="424" spans="2:7">
      <c r="B424" s="171"/>
      <c r="C424" s="171"/>
      <c r="D424" s="171"/>
      <c r="E424" s="171"/>
      <c r="F424" s="171"/>
      <c r="G424" s="170"/>
    </row>
  </sheetData>
  <sheetProtection password="D9BE" sheet="1" objects="1" scenarios="1"/>
  <autoFilter ref="B4:H304"/>
  <phoneticPr fontId="14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Revised 08.01.2016 to correct coding error in Total exposure indicator (item 2f)
Revised version can also be found at www.bis.org/bcbs/gsib</Description0>
    <Sort_x0020_order xmlns="47a4366c-84df-4f1b-a9fc-51678be20e9f">1</Sort_x0020_order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10210-F515-4625-853A-DC2EAA679800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7a4366c-84df-4f1b-a9fc-51678be20e9f"/>
    <ds:schemaRef ds:uri="http://schemas.microsoft.com/sharepoint/3.0"/>
    <ds:schemaRef ds:uri="c55bd289-69bc-4346-b6d0-143df9189783"/>
  </ds:schemaRefs>
</ds:datastoreItem>
</file>

<file path=customXml/itemProps3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Data</vt:lpstr>
      <vt:lpstr>Parameters</vt:lpstr>
      <vt:lpstr>Item IDs</vt:lpstr>
      <vt:lpstr>Data!_ftnref1</vt:lpstr>
      <vt:lpstr>AccountingStandard</vt:lpstr>
      <vt:lpstr>ChecksColumn</vt:lpstr>
      <vt:lpstr>ChecksResponses</vt:lpstr>
      <vt:lpstr>CountryCode</vt:lpstr>
      <vt:lpstr>PanelHeaders1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End-2015 G-SIB assessment template REVISED</dc:title>
  <dc:creator/>
  <cp:lastModifiedBy/>
  <dcterms:created xsi:type="dcterms:W3CDTF">2013-05-04T02:23:23Z</dcterms:created>
  <dcterms:modified xsi:type="dcterms:W3CDTF">2016-07-25T08:36:47Z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</Properties>
</file>