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https://vodafoneiceland-my.sharepoint.com/personal/finnurg_vodafone_is/Documents/Desktop/Fjölmiðlatölfræði/2. Verðskrá/Sjónvarp/2023/10 - Október/"/>
    </mc:Choice>
  </mc:AlternateContent>
  <xr:revisionPtr revIDLastSave="55" documentId="8_{AE7BDD01-7720-4181-9553-7A7DFA7C489C}" xr6:coauthVersionLast="47" xr6:coauthVersionMax="47" xr10:uidLastSave="{C2866FAA-46D5-4093-B12A-8C54F6AD7DBF}"/>
  <workbookProtection workbookAlgorithmName="SHA-512" workbookHashValue="iTiUQPsZXHntmZnWfemGRcJ0kYq0sPGo5xt/LNZTjovSP8BBERHqEJ3KhKQ+Hy8rspHCsYTF3UrLa3ZWPbs3uA==" workbookSaltValue="xvsPrlafbYN7wLliuI5YIA==" workbookSpinCount="100000" lockStructure="1"/>
  <bookViews>
    <workbookView xWindow="-120" yWindow="-120" windowWidth="29040" windowHeight="15990" tabRatio="858" firstSheet="5" activeTab="5" xr2:uid="{00000000-000D-0000-FFFF-FFFF00000000}"/>
  </bookViews>
  <sheets>
    <sheet name="Vika 36" sheetId="21" state="hidden" r:id="rId1"/>
    <sheet name="Vika 37" sheetId="22" state="hidden" r:id="rId2"/>
    <sheet name="Vika 38" sheetId="23" state="hidden" r:id="rId3"/>
    <sheet name="Vika 39" sheetId="24" state="hidden" r:id="rId4"/>
    <sheet name="Vika 40" sheetId="25" state="hidden" r:id="rId5"/>
    <sheet name="Vika 41" sheetId="26" r:id="rId6"/>
    <sheet name="Vika 42" sheetId="27" r:id="rId7"/>
    <sheet name="Vika 43" sheetId="28" r:id="rId8"/>
    <sheet name="Vika 44" sheetId="31" r:id="rId9"/>
    <sheet name="Vika 45" sheetId="32" r:id="rId10"/>
    <sheet name="Vika 46" sheetId="33" r:id="rId11"/>
    <sheet name="Vika 47" sheetId="34" r:id="rId12"/>
    <sheet name="Vika 48" sheetId="35" r:id="rId13"/>
    <sheet name="Vika x5" sheetId="36" state="hidden" r:id="rId14"/>
    <sheet name="Línuleg verðskrá" sheetId="2" r:id="rId15"/>
    <sheet name="VOD" sheetId="29" r:id="rId16"/>
    <sheet name="VOD hjálparskjal" sheetId="30" state="hidden" r:id="rId17"/>
    <sheet name="Punktar" sheetId="10" state="hidden" r:id="rId18"/>
    <sheet name="Verðlyklar" sheetId="12" state="hidden" r:id="rId19"/>
  </sheets>
  <definedNames>
    <definedName name="_xlnm.Print_Area" localSheetId="14">'Línuleg verðskrá'!$B$2:$K$62</definedName>
    <definedName name="_xlnm.Print_Area" localSheetId="15">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2" i="12" l="1"/>
  <c r="U15" i="12"/>
  <c r="V15" i="12"/>
  <c r="W15" i="12"/>
  <c r="X15" i="12"/>
  <c r="Y15" i="12"/>
  <c r="Z15" i="12"/>
  <c r="AA15" i="12"/>
  <c r="AB15" i="12"/>
  <c r="AC15" i="12"/>
  <c r="AD15" i="12"/>
  <c r="AE15" i="12"/>
  <c r="T15" i="12"/>
  <c r="S13" i="12"/>
  <c r="S2" i="12"/>
  <c r="U9" i="12"/>
  <c r="V9" i="12"/>
  <c r="W9" i="12"/>
  <c r="X9" i="12"/>
  <c r="Y9" i="12"/>
  <c r="Z9" i="12"/>
  <c r="AA9" i="12"/>
  <c r="AB9" i="12"/>
  <c r="T9" i="12"/>
  <c r="S6" i="12" l="1"/>
  <c r="V20" i="36" l="1"/>
  <c r="V19" i="36"/>
  <c r="V18" i="36"/>
  <c r="V17" i="36"/>
  <c r="V16" i="36"/>
  <c r="V15" i="36"/>
  <c r="V14" i="36"/>
  <c r="V13" i="36"/>
  <c r="V12" i="36"/>
  <c r="V11" i="36"/>
  <c r="V10" i="36"/>
  <c r="V8" i="36"/>
  <c r="V6" i="36"/>
  <c r="S20" i="36"/>
  <c r="S19" i="36"/>
  <c r="S18" i="36"/>
  <c r="S17" i="36"/>
  <c r="S16" i="36"/>
  <c r="S15" i="36"/>
  <c r="S14" i="36"/>
  <c r="S13" i="36"/>
  <c r="S11" i="36"/>
  <c r="S10" i="36"/>
  <c r="S9" i="36"/>
  <c r="S7" i="36"/>
  <c r="S5" i="36"/>
  <c r="P20" i="36"/>
  <c r="P19" i="36"/>
  <c r="P18" i="36"/>
  <c r="P17" i="36"/>
  <c r="P16" i="36"/>
  <c r="P15" i="36"/>
  <c r="P14" i="36"/>
  <c r="P13" i="36"/>
  <c r="P7" i="36"/>
  <c r="P6" i="36"/>
  <c r="D20" i="21"/>
  <c r="D19" i="21"/>
  <c r="D18" i="21"/>
  <c r="D16" i="21"/>
  <c r="D13" i="21"/>
  <c r="D11" i="21"/>
  <c r="D10" i="21"/>
  <c r="D7" i="21"/>
  <c r="D6" i="21"/>
  <c r="D5" i="21"/>
  <c r="N93" i="12"/>
  <c r="N92" i="12"/>
  <c r="N91" i="12"/>
  <c r="N90" i="12"/>
  <c r="N89" i="12"/>
  <c r="N88" i="12"/>
  <c r="N87" i="12"/>
  <c r="N86" i="12"/>
  <c r="N85" i="12"/>
  <c r="N84" i="12"/>
  <c r="N83" i="12"/>
  <c r="N82" i="12"/>
  <c r="N81" i="12"/>
  <c r="N80" i="12"/>
  <c r="N79" i="12"/>
  <c r="O76" i="12"/>
  <c r="O75" i="12"/>
  <c r="O74" i="12"/>
  <c r="O73" i="12"/>
  <c r="O72" i="12"/>
  <c r="O71" i="12"/>
  <c r="O70" i="12"/>
  <c r="O69" i="12"/>
  <c r="O68" i="12"/>
  <c r="O67" i="12"/>
  <c r="O66" i="12"/>
  <c r="O65" i="12"/>
  <c r="O64" i="12"/>
  <c r="O63" i="12"/>
  <c r="O62" i="12"/>
  <c r="Y57" i="12"/>
  <c r="X57" i="12"/>
  <c r="W57" i="12"/>
  <c r="V57" i="12"/>
  <c r="U57" i="12"/>
  <c r="T57" i="12"/>
  <c r="S57" i="12"/>
  <c r="R57" i="12"/>
  <c r="Q57" i="12"/>
  <c r="P57" i="12"/>
  <c r="O57" i="12"/>
  <c r="N57" i="12"/>
  <c r="Y56" i="12"/>
  <c r="X56" i="12"/>
  <c r="W56" i="12"/>
  <c r="V56" i="12"/>
  <c r="U56" i="12"/>
  <c r="T56" i="12"/>
  <c r="S56" i="12"/>
  <c r="R56" i="12"/>
  <c r="Q56" i="12"/>
  <c r="P56" i="12"/>
  <c r="O56" i="12"/>
  <c r="N56" i="12"/>
  <c r="Y55" i="12"/>
  <c r="X55" i="12"/>
  <c r="W55" i="12"/>
  <c r="V55" i="12"/>
  <c r="U55" i="12"/>
  <c r="T55" i="12"/>
  <c r="S55" i="12"/>
  <c r="R55" i="12"/>
  <c r="Q55" i="12"/>
  <c r="P55" i="12"/>
  <c r="O55" i="12"/>
  <c r="N55" i="12"/>
  <c r="Y54" i="12"/>
  <c r="X54" i="12"/>
  <c r="W54" i="12"/>
  <c r="V54" i="12"/>
  <c r="U54" i="12"/>
  <c r="T54" i="12"/>
  <c r="S54" i="12"/>
  <c r="R54" i="12"/>
  <c r="Q54" i="12"/>
  <c r="P54" i="12"/>
  <c r="O54" i="12"/>
  <c r="N54" i="12"/>
  <c r="Y53" i="12"/>
  <c r="X53" i="12"/>
  <c r="W53" i="12"/>
  <c r="V53" i="12"/>
  <c r="U53" i="12"/>
  <c r="T53" i="12"/>
  <c r="S53" i="12"/>
  <c r="R53" i="12"/>
  <c r="Q53" i="12"/>
  <c r="P53" i="12"/>
  <c r="O53" i="12"/>
  <c r="N53" i="12"/>
  <c r="Y52" i="12"/>
  <c r="X52" i="12"/>
  <c r="W52" i="12"/>
  <c r="V52" i="12"/>
  <c r="U52" i="12"/>
  <c r="T52" i="12"/>
  <c r="S52" i="12"/>
  <c r="R52" i="12"/>
  <c r="Q52" i="12"/>
  <c r="P52" i="12"/>
  <c r="O52" i="12"/>
  <c r="N52" i="12"/>
  <c r="Y51" i="12"/>
  <c r="X51" i="12"/>
  <c r="W51" i="12"/>
  <c r="V51" i="12"/>
  <c r="U51" i="12"/>
  <c r="T51" i="12"/>
  <c r="S51" i="12"/>
  <c r="R51" i="12"/>
  <c r="Q51" i="12"/>
  <c r="P51" i="12"/>
  <c r="O51" i="12"/>
  <c r="N51" i="12"/>
  <c r="Y50" i="12"/>
  <c r="X50" i="12"/>
  <c r="W50" i="12"/>
  <c r="V50" i="12"/>
  <c r="U50" i="12"/>
  <c r="T50" i="12"/>
  <c r="S50" i="12"/>
  <c r="R50" i="12"/>
  <c r="Q50" i="12"/>
  <c r="P50" i="12"/>
  <c r="O50" i="12"/>
  <c r="N50" i="12"/>
  <c r="Y49" i="12"/>
  <c r="X49" i="12"/>
  <c r="W49" i="12"/>
  <c r="V49" i="12"/>
  <c r="U49" i="12"/>
  <c r="T49" i="12"/>
  <c r="S49" i="12"/>
  <c r="R49" i="12"/>
  <c r="Q49" i="12"/>
  <c r="P49" i="12"/>
  <c r="O49" i="12"/>
  <c r="N49" i="12"/>
  <c r="Y48" i="12"/>
  <c r="X48" i="12"/>
  <c r="W48" i="12"/>
  <c r="V48" i="12"/>
  <c r="U48" i="12"/>
  <c r="T48" i="12"/>
  <c r="S48" i="12"/>
  <c r="R48" i="12"/>
  <c r="Q48" i="12"/>
  <c r="P48" i="12"/>
  <c r="O48" i="12"/>
  <c r="N48" i="12"/>
  <c r="Y47" i="12"/>
  <c r="X47" i="12"/>
  <c r="W47" i="12"/>
  <c r="V47" i="12"/>
  <c r="U47" i="12"/>
  <c r="T47" i="12"/>
  <c r="S47" i="12"/>
  <c r="R47" i="12"/>
  <c r="Q47" i="12"/>
  <c r="P47" i="12"/>
  <c r="O47" i="12"/>
  <c r="N47" i="12"/>
  <c r="Y46" i="12"/>
  <c r="X46" i="12"/>
  <c r="W46" i="12"/>
  <c r="V46" i="12"/>
  <c r="U46" i="12"/>
  <c r="T46" i="12"/>
  <c r="S46" i="12"/>
  <c r="R46" i="12"/>
  <c r="Q46" i="12"/>
  <c r="P46" i="12"/>
  <c r="O46" i="12"/>
  <c r="N46" i="12"/>
  <c r="Y45" i="12"/>
  <c r="X45" i="12"/>
  <c r="W45" i="12"/>
  <c r="V45" i="12"/>
  <c r="U45" i="12"/>
  <c r="T45" i="12"/>
  <c r="S45" i="12"/>
  <c r="R45" i="12"/>
  <c r="Q45" i="12"/>
  <c r="P45" i="12"/>
  <c r="O45" i="12"/>
  <c r="N45" i="12"/>
  <c r="Y44" i="12"/>
  <c r="X44" i="12"/>
  <c r="W44" i="12"/>
  <c r="V44" i="12"/>
  <c r="U44" i="12"/>
  <c r="T44" i="12"/>
  <c r="S44" i="12"/>
  <c r="R44" i="12"/>
  <c r="Q44" i="12"/>
  <c r="P44" i="12"/>
  <c r="O44" i="12"/>
  <c r="N44" i="12"/>
  <c r="Y43" i="12"/>
  <c r="X43" i="12"/>
  <c r="W43" i="12"/>
  <c r="V43" i="12"/>
  <c r="U43" i="12"/>
  <c r="T43" i="12"/>
  <c r="S43" i="12"/>
  <c r="R43" i="12"/>
  <c r="Q43" i="12"/>
  <c r="P43" i="12"/>
  <c r="O43" i="12"/>
  <c r="N43" i="12"/>
  <c r="AC42" i="12"/>
  <c r="Y42" i="12"/>
  <c r="X42" i="12"/>
  <c r="W42" i="12"/>
  <c r="V42" i="12"/>
  <c r="U42" i="12"/>
  <c r="T42" i="12"/>
  <c r="S42" i="12"/>
  <c r="R42" i="12"/>
  <c r="Q42" i="12"/>
  <c r="P42" i="12"/>
  <c r="O42" i="12"/>
  <c r="N42" i="12"/>
  <c r="AC41" i="12"/>
  <c r="Y41" i="12"/>
  <c r="X41" i="12"/>
  <c r="W41" i="12"/>
  <c r="V41" i="12"/>
  <c r="U41" i="12"/>
  <c r="T41" i="12"/>
  <c r="S41" i="12"/>
  <c r="R41" i="12"/>
  <c r="Q41" i="12"/>
  <c r="P41" i="12"/>
  <c r="O41" i="12"/>
  <c r="N41" i="12"/>
  <c r="AC40" i="12"/>
  <c r="Y40" i="12"/>
  <c r="X40" i="12"/>
  <c r="W40" i="12"/>
  <c r="V40" i="12"/>
  <c r="U40" i="12"/>
  <c r="T40" i="12"/>
  <c r="S40" i="12"/>
  <c r="R40" i="12"/>
  <c r="Q40" i="12"/>
  <c r="P40" i="12"/>
  <c r="O40" i="12"/>
  <c r="N40" i="12"/>
  <c r="AC39" i="12"/>
  <c r="Y39" i="12"/>
  <c r="X39" i="12"/>
  <c r="W39" i="12"/>
  <c r="V39" i="12"/>
  <c r="U39" i="12"/>
  <c r="T39" i="12"/>
  <c r="S39" i="12"/>
  <c r="R39" i="12"/>
  <c r="Q39" i="12"/>
  <c r="P39" i="12"/>
  <c r="O39" i="12"/>
  <c r="N39" i="12"/>
  <c r="AC38" i="12"/>
  <c r="Y38" i="12"/>
  <c r="X38" i="12"/>
  <c r="W38" i="12"/>
  <c r="V38" i="12"/>
  <c r="U38" i="12"/>
  <c r="T38" i="12"/>
  <c r="S38" i="12"/>
  <c r="R38" i="12"/>
  <c r="Q38" i="12"/>
  <c r="P38" i="12"/>
  <c r="O38" i="12"/>
  <c r="N38" i="12"/>
  <c r="AC37" i="12"/>
  <c r="Y37" i="12"/>
  <c r="X37" i="12"/>
  <c r="W37" i="12"/>
  <c r="V37" i="12"/>
  <c r="U37" i="12"/>
  <c r="T37" i="12"/>
  <c r="S37" i="12"/>
  <c r="R37" i="12"/>
  <c r="Q37" i="12"/>
  <c r="P37" i="12"/>
  <c r="O37" i="12"/>
  <c r="N37" i="12"/>
  <c r="AC36" i="12"/>
  <c r="Y36" i="12"/>
  <c r="X36" i="12"/>
  <c r="W36" i="12"/>
  <c r="V36" i="12"/>
  <c r="U36" i="12"/>
  <c r="T36" i="12"/>
  <c r="S36" i="12"/>
  <c r="R36" i="12"/>
  <c r="Q36" i="12"/>
  <c r="P36" i="12"/>
  <c r="O36" i="12"/>
  <c r="N36" i="12"/>
  <c r="AC35" i="12"/>
  <c r="Y35" i="12"/>
  <c r="X35" i="12"/>
  <c r="W35" i="12"/>
  <c r="V35" i="12"/>
  <c r="U35" i="12"/>
  <c r="T35" i="12"/>
  <c r="S35" i="12"/>
  <c r="R35" i="12"/>
  <c r="Q35" i="12"/>
  <c r="P35" i="12"/>
  <c r="O35" i="12"/>
  <c r="N35" i="12"/>
  <c r="AC34" i="12"/>
  <c r="Y34" i="12"/>
  <c r="X34" i="12"/>
  <c r="W34" i="12"/>
  <c r="V34" i="12"/>
  <c r="U34" i="12"/>
  <c r="T34" i="12"/>
  <c r="S34" i="12"/>
  <c r="R34" i="12"/>
  <c r="Q34" i="12"/>
  <c r="P34" i="12"/>
  <c r="O34" i="12"/>
  <c r="N34" i="12"/>
  <c r="AC33" i="12"/>
  <c r="Y33" i="12"/>
  <c r="X33" i="12"/>
  <c r="W33" i="12"/>
  <c r="V33" i="12"/>
  <c r="U33" i="12"/>
  <c r="T33" i="12"/>
  <c r="S33" i="12"/>
  <c r="R33" i="12"/>
  <c r="Q33" i="12"/>
  <c r="P33" i="12"/>
  <c r="O33" i="12"/>
  <c r="N33" i="12"/>
  <c r="AC32" i="12"/>
  <c r="Y32" i="12"/>
  <c r="X32" i="12"/>
  <c r="W32" i="12"/>
  <c r="V32" i="12"/>
  <c r="U32" i="12"/>
  <c r="T32" i="12"/>
  <c r="S32" i="12"/>
  <c r="R32" i="12"/>
  <c r="Q32" i="12"/>
  <c r="P32" i="12"/>
  <c r="O32" i="12"/>
  <c r="N32" i="12"/>
  <c r="AC31" i="12"/>
  <c r="Y31" i="12"/>
  <c r="X31" i="12"/>
  <c r="W31" i="12"/>
  <c r="V31" i="12"/>
  <c r="U31" i="12"/>
  <c r="T31" i="12"/>
  <c r="S31" i="12"/>
  <c r="R31" i="12"/>
  <c r="Q31" i="12"/>
  <c r="P31" i="12"/>
  <c r="O31" i="12"/>
  <c r="N31" i="12"/>
  <c r="D28" i="12"/>
  <c r="D27" i="12"/>
  <c r="D26" i="12"/>
  <c r="D25" i="12"/>
  <c r="D24" i="12"/>
  <c r="D23" i="12"/>
  <c r="D22" i="12"/>
  <c r="D21" i="12"/>
  <c r="D20" i="12"/>
  <c r="D19" i="12"/>
  <c r="D18" i="12"/>
  <c r="D17" i="12"/>
  <c r="D16" i="12"/>
  <c r="D15" i="12"/>
  <c r="D14" i="12"/>
  <c r="D13" i="12"/>
  <c r="D12" i="12"/>
  <c r="D11" i="12"/>
  <c r="AU10" i="12"/>
  <c r="AR10" i="12"/>
  <c r="D10" i="12"/>
  <c r="AU9" i="12"/>
  <c r="AR9" i="12"/>
  <c r="D9" i="12"/>
  <c r="AR8" i="12"/>
  <c r="D8" i="12"/>
  <c r="AU7" i="12"/>
  <c r="AR7" i="12"/>
  <c r="D7" i="12"/>
  <c r="AR6" i="12"/>
  <c r="D6" i="12"/>
  <c r="AU5" i="12"/>
  <c r="AR5" i="12"/>
  <c r="O5" i="12"/>
  <c r="N5" i="12"/>
  <c r="M5" i="12"/>
  <c r="D5" i="12"/>
  <c r="AR4" i="12"/>
  <c r="AM4" i="12"/>
  <c r="AE4" i="12"/>
  <c r="AD4" i="12"/>
  <c r="AC4" i="12"/>
  <c r="AB4" i="12"/>
  <c r="AA4" i="12"/>
  <c r="Z4" i="12"/>
  <c r="Y4" i="12"/>
  <c r="X4" i="12"/>
  <c r="W4" i="12"/>
  <c r="V4" i="12"/>
  <c r="U4" i="12"/>
  <c r="T4" i="12"/>
  <c r="D4" i="12"/>
  <c r="AR3" i="12"/>
  <c r="D3" i="12"/>
  <c r="AU2" i="12"/>
  <c r="AS2" i="12"/>
  <c r="AR2" i="12"/>
  <c r="D2" i="12"/>
  <c r="AR1" i="12"/>
  <c r="S1" i="12"/>
  <c r="O1" i="12"/>
  <c r="D1" i="12"/>
  <c r="AB200" i="10"/>
  <c r="AA200" i="10"/>
  <c r="Z200" i="10"/>
  <c r="Y200" i="10"/>
  <c r="X200" i="10"/>
  <c r="W200" i="10"/>
  <c r="V200" i="10"/>
  <c r="U200" i="10"/>
  <c r="T200" i="10"/>
  <c r="S200" i="10"/>
  <c r="R200" i="10"/>
  <c r="Q200" i="10"/>
  <c r="P200" i="10"/>
  <c r="O200" i="10"/>
  <c r="N200" i="10"/>
  <c r="M200" i="10"/>
  <c r="L200" i="10"/>
  <c r="K200" i="10"/>
  <c r="J200" i="10"/>
  <c r="I200" i="10"/>
  <c r="H200" i="10"/>
  <c r="G200" i="10"/>
  <c r="F200" i="10"/>
  <c r="E200" i="10"/>
  <c r="D200" i="10"/>
  <c r="C200" i="10"/>
  <c r="AC199" i="10"/>
  <c r="AC198" i="10"/>
  <c r="AC197" i="10"/>
  <c r="AC196" i="10"/>
  <c r="AC195" i="10"/>
  <c r="AC194" i="10"/>
  <c r="AC193" i="10"/>
  <c r="AC192" i="10"/>
  <c r="AC191" i="10"/>
  <c r="AC190" i="10"/>
  <c r="AC189" i="10"/>
  <c r="AC188" i="10"/>
  <c r="AC187" i="10"/>
  <c r="AC186" i="10"/>
  <c r="AC185" i="10"/>
  <c r="AC184" i="10"/>
  <c r="AC183" i="10"/>
  <c r="AC182" i="10"/>
  <c r="AC181" i="10"/>
  <c r="AC180" i="10"/>
  <c r="AC179" i="10"/>
  <c r="AC178" i="10"/>
  <c r="AC177" i="10"/>
  <c r="AC176" i="10"/>
  <c r="AC175" i="10"/>
  <c r="AC174" i="10"/>
  <c r="AC173" i="10"/>
  <c r="AC172" i="10"/>
  <c r="AC171" i="10"/>
  <c r="AC170" i="10"/>
  <c r="AC169" i="10"/>
  <c r="AC168" i="10"/>
  <c r="AC167" i="10"/>
  <c r="AC166" i="10"/>
  <c r="AC165" i="10"/>
  <c r="AC164" i="10"/>
  <c r="AC163" i="10"/>
  <c r="AC162" i="10"/>
  <c r="AC161" i="10"/>
  <c r="AC160" i="10"/>
  <c r="AC159" i="10"/>
  <c r="AC158" i="10"/>
  <c r="AC157" i="10"/>
  <c r="AC156" i="10"/>
  <c r="AB156" i="10"/>
  <c r="AA156" i="10"/>
  <c r="Z156" i="10"/>
  <c r="Y156" i="10"/>
  <c r="X156" i="10"/>
  <c r="W156" i="10"/>
  <c r="V156" i="10"/>
  <c r="U156" i="10"/>
  <c r="T156" i="10"/>
  <c r="S156" i="10"/>
  <c r="R156" i="10"/>
  <c r="Q156" i="10"/>
  <c r="P156" i="10"/>
  <c r="O156" i="10"/>
  <c r="N156" i="10"/>
  <c r="M156" i="10"/>
  <c r="L156" i="10"/>
  <c r="K156" i="10"/>
  <c r="J156" i="10"/>
  <c r="I156" i="10"/>
  <c r="H156" i="10"/>
  <c r="G156" i="10"/>
  <c r="F156" i="10"/>
  <c r="E156" i="10"/>
  <c r="D156" i="10"/>
  <c r="C156" i="10"/>
  <c r="AC155" i="10"/>
  <c r="AB155" i="10"/>
  <c r="AA155" i="10"/>
  <c r="Z155" i="10"/>
  <c r="Y155" i="10"/>
  <c r="X155" i="10"/>
  <c r="W155" i="10"/>
  <c r="V155" i="10"/>
  <c r="U155" i="10"/>
  <c r="T155" i="10"/>
  <c r="S155" i="10"/>
  <c r="R155" i="10"/>
  <c r="Q155" i="10"/>
  <c r="P155" i="10"/>
  <c r="O155" i="10"/>
  <c r="N155" i="10"/>
  <c r="M155" i="10"/>
  <c r="L155" i="10"/>
  <c r="K155" i="10"/>
  <c r="J155" i="10"/>
  <c r="I155" i="10"/>
  <c r="H155" i="10"/>
  <c r="G155" i="10"/>
  <c r="F155" i="10"/>
  <c r="E155" i="10"/>
  <c r="D155" i="10"/>
  <c r="C155" i="10"/>
  <c r="AC154" i="10"/>
  <c r="AB154" i="10"/>
  <c r="AA154" i="10"/>
  <c r="Z154" i="10"/>
  <c r="Y154" i="10"/>
  <c r="X154" i="10"/>
  <c r="W154" i="10"/>
  <c r="V154" i="10"/>
  <c r="U154" i="10"/>
  <c r="T154" i="10"/>
  <c r="S154" i="10"/>
  <c r="R154" i="10"/>
  <c r="Q154" i="10"/>
  <c r="P154" i="10"/>
  <c r="O154" i="10"/>
  <c r="N154" i="10"/>
  <c r="M154" i="10"/>
  <c r="L154" i="10"/>
  <c r="K154" i="10"/>
  <c r="J154" i="10"/>
  <c r="I154" i="10"/>
  <c r="H154" i="10"/>
  <c r="G154" i="10"/>
  <c r="F154" i="10"/>
  <c r="E154" i="10"/>
  <c r="D154" i="10"/>
  <c r="C154" i="10"/>
  <c r="AC153" i="10"/>
  <c r="AB153" i="10"/>
  <c r="AA153" i="10"/>
  <c r="Z153" i="10"/>
  <c r="Y153" i="10"/>
  <c r="X153" i="10"/>
  <c r="W153" i="10"/>
  <c r="V153" i="10"/>
  <c r="U153" i="10"/>
  <c r="T153" i="10"/>
  <c r="S153" i="10"/>
  <c r="R153" i="10"/>
  <c r="Q153" i="10"/>
  <c r="P153" i="10"/>
  <c r="O153" i="10"/>
  <c r="N153" i="10"/>
  <c r="M153" i="10"/>
  <c r="L153" i="10"/>
  <c r="K153" i="10"/>
  <c r="J153" i="10"/>
  <c r="I153" i="10"/>
  <c r="H153" i="10"/>
  <c r="G153" i="10"/>
  <c r="F153" i="10"/>
  <c r="E153" i="10"/>
  <c r="D153" i="10"/>
  <c r="C153" i="10"/>
  <c r="AC152" i="10"/>
  <c r="AB152" i="10"/>
  <c r="AA152" i="10"/>
  <c r="Z152" i="10"/>
  <c r="Y152" i="10"/>
  <c r="X152" i="10"/>
  <c r="W152" i="10"/>
  <c r="V152" i="10"/>
  <c r="U152" i="10"/>
  <c r="T152" i="10"/>
  <c r="S152" i="10"/>
  <c r="R152" i="10"/>
  <c r="Q152" i="10"/>
  <c r="P152" i="10"/>
  <c r="O152" i="10"/>
  <c r="N152" i="10"/>
  <c r="M152" i="10"/>
  <c r="L152" i="10"/>
  <c r="K152" i="10"/>
  <c r="J152" i="10"/>
  <c r="I152" i="10"/>
  <c r="H152" i="10"/>
  <c r="G152" i="10"/>
  <c r="F152" i="10"/>
  <c r="E152" i="10"/>
  <c r="D152" i="10"/>
  <c r="C152" i="10"/>
  <c r="AC151" i="10"/>
  <c r="AB151" i="10"/>
  <c r="AA151" i="10"/>
  <c r="Z151" i="10"/>
  <c r="Y151" i="10"/>
  <c r="X151" i="10"/>
  <c r="W151" i="10"/>
  <c r="V151" i="10"/>
  <c r="U151" i="10"/>
  <c r="T151" i="10"/>
  <c r="S151" i="10"/>
  <c r="R151" i="10"/>
  <c r="Q151" i="10"/>
  <c r="P151" i="10"/>
  <c r="O151" i="10"/>
  <c r="N151" i="10"/>
  <c r="M151" i="10"/>
  <c r="L151" i="10"/>
  <c r="K151" i="10"/>
  <c r="J151" i="10"/>
  <c r="I151" i="10"/>
  <c r="H151" i="10"/>
  <c r="G151" i="10"/>
  <c r="F151" i="10"/>
  <c r="E151" i="10"/>
  <c r="D151" i="10"/>
  <c r="C151" i="10"/>
  <c r="AC150" i="10"/>
  <c r="AB150" i="10"/>
  <c r="AA150" i="10"/>
  <c r="Z150" i="10"/>
  <c r="Y150" i="10"/>
  <c r="X150" i="10"/>
  <c r="W150" i="10"/>
  <c r="V150" i="10"/>
  <c r="U150" i="10"/>
  <c r="T150" i="10"/>
  <c r="S150" i="10"/>
  <c r="R150" i="10"/>
  <c r="Q150" i="10"/>
  <c r="P150" i="10"/>
  <c r="O150" i="10"/>
  <c r="N150" i="10"/>
  <c r="M150" i="10"/>
  <c r="L150" i="10"/>
  <c r="K150" i="10"/>
  <c r="J150" i="10"/>
  <c r="I150" i="10"/>
  <c r="H150" i="10"/>
  <c r="G150" i="10"/>
  <c r="F150" i="10"/>
  <c r="E150" i="10"/>
  <c r="D150" i="10"/>
  <c r="C150" i="10"/>
  <c r="AC149" i="10"/>
  <c r="AB149" i="10"/>
  <c r="AA149" i="10"/>
  <c r="Z149" i="10"/>
  <c r="Y149" i="10"/>
  <c r="X149" i="10"/>
  <c r="W149" i="10"/>
  <c r="V149" i="10"/>
  <c r="U149" i="10"/>
  <c r="T149" i="10"/>
  <c r="S149" i="10"/>
  <c r="R149" i="10"/>
  <c r="Q149" i="10"/>
  <c r="P149" i="10"/>
  <c r="O149" i="10"/>
  <c r="N149" i="10"/>
  <c r="M149" i="10"/>
  <c r="L149" i="10"/>
  <c r="K149" i="10"/>
  <c r="J149" i="10"/>
  <c r="I149" i="10"/>
  <c r="H149" i="10"/>
  <c r="G149" i="10"/>
  <c r="F149" i="10"/>
  <c r="E149" i="10"/>
  <c r="D149" i="10"/>
  <c r="C149" i="10"/>
  <c r="AC148" i="10"/>
  <c r="AB148" i="10"/>
  <c r="AA148" i="10"/>
  <c r="Z148" i="10"/>
  <c r="Y148" i="10"/>
  <c r="X148" i="10"/>
  <c r="W148" i="10"/>
  <c r="V148" i="10"/>
  <c r="U148" i="10"/>
  <c r="T148" i="10"/>
  <c r="S148" i="10"/>
  <c r="R148" i="10"/>
  <c r="Q148" i="10"/>
  <c r="P148" i="10"/>
  <c r="O148" i="10"/>
  <c r="N148" i="10"/>
  <c r="M148" i="10"/>
  <c r="L148" i="10"/>
  <c r="K148" i="10"/>
  <c r="J148" i="10"/>
  <c r="I148" i="10"/>
  <c r="H148" i="10"/>
  <c r="G148" i="10"/>
  <c r="F148" i="10"/>
  <c r="E148" i="10"/>
  <c r="D148" i="10"/>
  <c r="C148" i="10"/>
  <c r="AC147" i="10"/>
  <c r="AB147" i="10"/>
  <c r="AA147" i="10"/>
  <c r="Z147" i="10"/>
  <c r="Y147" i="10"/>
  <c r="X147" i="10"/>
  <c r="W147" i="10"/>
  <c r="V147" i="10"/>
  <c r="U147" i="10"/>
  <c r="T147" i="10"/>
  <c r="S147" i="10"/>
  <c r="R147" i="10"/>
  <c r="Q147" i="10"/>
  <c r="P147" i="10"/>
  <c r="O147" i="10"/>
  <c r="N147" i="10"/>
  <c r="M147" i="10"/>
  <c r="L147" i="10"/>
  <c r="K147" i="10"/>
  <c r="J147" i="10"/>
  <c r="I147" i="10"/>
  <c r="H147" i="10"/>
  <c r="G147" i="10"/>
  <c r="F147" i="10"/>
  <c r="E147" i="10"/>
  <c r="D147" i="10"/>
  <c r="C147" i="10"/>
  <c r="AC146" i="10"/>
  <c r="AB146" i="10"/>
  <c r="AA146" i="10"/>
  <c r="Z146" i="10"/>
  <c r="Y146" i="10"/>
  <c r="X146" i="10"/>
  <c r="W146" i="10"/>
  <c r="V146" i="10"/>
  <c r="U146" i="10"/>
  <c r="T146" i="10"/>
  <c r="S146" i="10"/>
  <c r="R146" i="10"/>
  <c r="Q146" i="10"/>
  <c r="P146" i="10"/>
  <c r="O146" i="10"/>
  <c r="N146" i="10"/>
  <c r="M146" i="10"/>
  <c r="L146" i="10"/>
  <c r="K146" i="10"/>
  <c r="J146" i="10"/>
  <c r="I146" i="10"/>
  <c r="H146" i="10"/>
  <c r="G146" i="10"/>
  <c r="F146" i="10"/>
  <c r="E146" i="10"/>
  <c r="D146" i="10"/>
  <c r="C146" i="10"/>
  <c r="AC145" i="10"/>
  <c r="AB145" i="10"/>
  <c r="AA145" i="10"/>
  <c r="Z145" i="10"/>
  <c r="Y145" i="10"/>
  <c r="X145" i="10"/>
  <c r="W145" i="10"/>
  <c r="V145" i="10"/>
  <c r="U145" i="10"/>
  <c r="T145" i="10"/>
  <c r="S145" i="10"/>
  <c r="R145" i="10"/>
  <c r="Q145" i="10"/>
  <c r="P145" i="10"/>
  <c r="O145" i="10"/>
  <c r="N145" i="10"/>
  <c r="M145" i="10"/>
  <c r="L145" i="10"/>
  <c r="K145" i="10"/>
  <c r="J145" i="10"/>
  <c r="I145" i="10"/>
  <c r="H145" i="10"/>
  <c r="G145" i="10"/>
  <c r="F145" i="10"/>
  <c r="E145" i="10"/>
  <c r="D145" i="10"/>
  <c r="C145" i="10"/>
  <c r="AC144" i="10"/>
  <c r="AB144" i="10"/>
  <c r="AA144" i="10"/>
  <c r="Z144" i="10"/>
  <c r="Y144" i="10"/>
  <c r="X144" i="10"/>
  <c r="W144" i="10"/>
  <c r="V144" i="10"/>
  <c r="U144" i="10"/>
  <c r="T144" i="10"/>
  <c r="S144" i="10"/>
  <c r="R144" i="10"/>
  <c r="Q144" i="10"/>
  <c r="P144" i="10"/>
  <c r="O144" i="10"/>
  <c r="N144" i="10"/>
  <c r="M144" i="10"/>
  <c r="L144" i="10"/>
  <c r="K144" i="10"/>
  <c r="J144" i="10"/>
  <c r="I144" i="10"/>
  <c r="H144" i="10"/>
  <c r="G144" i="10"/>
  <c r="F144" i="10"/>
  <c r="E144" i="10"/>
  <c r="D144" i="10"/>
  <c r="C144" i="10"/>
  <c r="AC143" i="10"/>
  <c r="AB143" i="10"/>
  <c r="AA143" i="10"/>
  <c r="Z143" i="10"/>
  <c r="Y143" i="10"/>
  <c r="X143" i="10"/>
  <c r="W143" i="10"/>
  <c r="V143" i="10"/>
  <c r="U143" i="10"/>
  <c r="T143" i="10"/>
  <c r="S143" i="10"/>
  <c r="R143" i="10"/>
  <c r="Q143" i="10"/>
  <c r="P143" i="10"/>
  <c r="O143" i="10"/>
  <c r="N143" i="10"/>
  <c r="M143" i="10"/>
  <c r="L143" i="10"/>
  <c r="K143" i="10"/>
  <c r="J143" i="10"/>
  <c r="I143" i="10"/>
  <c r="H143" i="10"/>
  <c r="G143" i="10"/>
  <c r="F143" i="10"/>
  <c r="E143" i="10"/>
  <c r="D143" i="10"/>
  <c r="C143" i="10"/>
  <c r="AC142" i="10"/>
  <c r="AB142" i="10"/>
  <c r="AA142" i="10"/>
  <c r="Z142" i="10"/>
  <c r="Y142" i="10"/>
  <c r="X142" i="10"/>
  <c r="W142" i="10"/>
  <c r="V142" i="10"/>
  <c r="U142" i="10"/>
  <c r="T142" i="10"/>
  <c r="S142" i="10"/>
  <c r="R142" i="10"/>
  <c r="Q142" i="10"/>
  <c r="P142" i="10"/>
  <c r="O142" i="10"/>
  <c r="N142" i="10"/>
  <c r="M142" i="10"/>
  <c r="L142" i="10"/>
  <c r="K142" i="10"/>
  <c r="J142" i="10"/>
  <c r="I142" i="10"/>
  <c r="H142" i="10"/>
  <c r="G142" i="10"/>
  <c r="F142" i="10"/>
  <c r="E142" i="10"/>
  <c r="D142" i="10"/>
  <c r="C142" i="10"/>
  <c r="AB141" i="10"/>
  <c r="AA141" i="10"/>
  <c r="Z141" i="10"/>
  <c r="Y141" i="10"/>
  <c r="X141" i="10"/>
  <c r="W141" i="10"/>
  <c r="V141" i="10"/>
  <c r="U141" i="10"/>
  <c r="T141" i="10"/>
  <c r="S141" i="10"/>
  <c r="R141" i="10"/>
  <c r="Q141" i="10"/>
  <c r="P141" i="10"/>
  <c r="O141" i="10"/>
  <c r="N141" i="10"/>
  <c r="M141" i="10"/>
  <c r="L141" i="10"/>
  <c r="K141" i="10"/>
  <c r="J141" i="10"/>
  <c r="I141" i="10"/>
  <c r="H141" i="10"/>
  <c r="G141" i="10"/>
  <c r="F141" i="10"/>
  <c r="E141" i="10"/>
  <c r="D141" i="10"/>
  <c r="C141" i="10"/>
  <c r="AB140" i="10"/>
  <c r="AA140" i="10"/>
  <c r="Z140" i="10"/>
  <c r="Y140" i="10"/>
  <c r="X140" i="10"/>
  <c r="W140" i="10"/>
  <c r="V140" i="10"/>
  <c r="U140" i="10"/>
  <c r="T140" i="10"/>
  <c r="S140" i="10"/>
  <c r="R140" i="10"/>
  <c r="Q140" i="10"/>
  <c r="P140" i="10"/>
  <c r="O140" i="10"/>
  <c r="N140" i="10"/>
  <c r="M140" i="10"/>
  <c r="L140" i="10"/>
  <c r="K140" i="10"/>
  <c r="J140" i="10"/>
  <c r="I140" i="10"/>
  <c r="H140" i="10"/>
  <c r="G140" i="10"/>
  <c r="F140" i="10"/>
  <c r="E140" i="10"/>
  <c r="D140" i="10"/>
  <c r="C140" i="10"/>
  <c r="AB139" i="10"/>
  <c r="AA139" i="10"/>
  <c r="Z139" i="10"/>
  <c r="Y139" i="10"/>
  <c r="X139" i="10"/>
  <c r="W139" i="10"/>
  <c r="V139" i="10"/>
  <c r="U139" i="10"/>
  <c r="T139" i="10"/>
  <c r="S139" i="10"/>
  <c r="R139" i="10"/>
  <c r="Q139" i="10"/>
  <c r="P139" i="10"/>
  <c r="O139" i="10"/>
  <c r="N139" i="10"/>
  <c r="M139" i="10"/>
  <c r="L139" i="10"/>
  <c r="K139" i="10"/>
  <c r="J139" i="10"/>
  <c r="I139" i="10"/>
  <c r="H139" i="10"/>
  <c r="G139" i="10"/>
  <c r="F139" i="10"/>
  <c r="E139" i="10"/>
  <c r="D139" i="10"/>
  <c r="C139" i="10"/>
  <c r="AB138" i="10"/>
  <c r="AA138" i="10"/>
  <c r="Z138" i="10"/>
  <c r="Y138" i="10"/>
  <c r="X138" i="10"/>
  <c r="W138" i="10"/>
  <c r="V138" i="10"/>
  <c r="U138" i="10"/>
  <c r="T138" i="10"/>
  <c r="S138" i="10"/>
  <c r="R138" i="10"/>
  <c r="Q138" i="10"/>
  <c r="P138" i="10"/>
  <c r="O138" i="10"/>
  <c r="N138" i="10"/>
  <c r="M138" i="10"/>
  <c r="L138" i="10"/>
  <c r="K138" i="10"/>
  <c r="J138" i="10"/>
  <c r="I138" i="10"/>
  <c r="H138" i="10"/>
  <c r="G138" i="10"/>
  <c r="F138" i="10"/>
  <c r="E138" i="10"/>
  <c r="D138" i="10"/>
  <c r="C138" i="10"/>
  <c r="AB137" i="10"/>
  <c r="AA137" i="10"/>
  <c r="Z137" i="10"/>
  <c r="Y137" i="10"/>
  <c r="X137" i="10"/>
  <c r="W137" i="10"/>
  <c r="V137" i="10"/>
  <c r="U137" i="10"/>
  <c r="T137" i="10"/>
  <c r="S137" i="10"/>
  <c r="R137" i="10"/>
  <c r="Q137" i="10"/>
  <c r="P137" i="10"/>
  <c r="O137" i="10"/>
  <c r="N137" i="10"/>
  <c r="M137" i="10"/>
  <c r="L137" i="10"/>
  <c r="K137" i="10"/>
  <c r="J137" i="10"/>
  <c r="I137" i="10"/>
  <c r="H137" i="10"/>
  <c r="G137" i="10"/>
  <c r="F137" i="10"/>
  <c r="E137" i="10"/>
  <c r="D137" i="10"/>
  <c r="C137" i="10"/>
  <c r="AB136" i="10"/>
  <c r="AA136" i="10"/>
  <c r="Z136" i="10"/>
  <c r="Y136" i="10"/>
  <c r="X136" i="10"/>
  <c r="W136" i="10"/>
  <c r="V136" i="10"/>
  <c r="U136" i="10"/>
  <c r="T136" i="10"/>
  <c r="S136" i="10"/>
  <c r="R136" i="10"/>
  <c r="Q136" i="10"/>
  <c r="P136" i="10"/>
  <c r="O136" i="10"/>
  <c r="N136" i="10"/>
  <c r="M136" i="10"/>
  <c r="L136" i="10"/>
  <c r="K136" i="10"/>
  <c r="J136" i="10"/>
  <c r="I136" i="10"/>
  <c r="H136" i="10"/>
  <c r="G136" i="10"/>
  <c r="F136" i="10"/>
  <c r="E136" i="10"/>
  <c r="D136" i="10"/>
  <c r="C136" i="10"/>
  <c r="AB135" i="10"/>
  <c r="AA135" i="10"/>
  <c r="Z135" i="10"/>
  <c r="Y135" i="10"/>
  <c r="X135" i="10"/>
  <c r="W135" i="10"/>
  <c r="V135" i="10"/>
  <c r="U135" i="10"/>
  <c r="T135" i="10"/>
  <c r="S135" i="10"/>
  <c r="R135" i="10"/>
  <c r="Q135" i="10"/>
  <c r="P135" i="10"/>
  <c r="O135" i="10"/>
  <c r="N135" i="10"/>
  <c r="M135" i="10"/>
  <c r="L135" i="10"/>
  <c r="K135" i="10"/>
  <c r="J135" i="10"/>
  <c r="I135" i="10"/>
  <c r="H135" i="10"/>
  <c r="G135" i="10"/>
  <c r="F135" i="10"/>
  <c r="E135" i="10"/>
  <c r="D135" i="10"/>
  <c r="C135" i="10"/>
  <c r="AB134" i="10"/>
  <c r="AA134" i="10"/>
  <c r="Z134" i="10"/>
  <c r="Y134" i="10"/>
  <c r="X134" i="10"/>
  <c r="W134" i="10"/>
  <c r="V134" i="10"/>
  <c r="U134" i="10"/>
  <c r="T134" i="10"/>
  <c r="S134" i="10"/>
  <c r="R134" i="10"/>
  <c r="Q134" i="10"/>
  <c r="P134" i="10"/>
  <c r="O134" i="10"/>
  <c r="N134" i="10"/>
  <c r="M134" i="10"/>
  <c r="L134" i="10"/>
  <c r="K134" i="10"/>
  <c r="J134" i="10"/>
  <c r="I134" i="10"/>
  <c r="H134" i="10"/>
  <c r="G134" i="10"/>
  <c r="F134" i="10"/>
  <c r="E134" i="10"/>
  <c r="D134" i="10"/>
  <c r="C134" i="10"/>
  <c r="AB133" i="10"/>
  <c r="AA133" i="10"/>
  <c r="Z133" i="10"/>
  <c r="Y133" i="10"/>
  <c r="X133" i="10"/>
  <c r="W133" i="10"/>
  <c r="V133" i="10"/>
  <c r="U133" i="10"/>
  <c r="T133" i="10"/>
  <c r="S133" i="10"/>
  <c r="R133" i="10"/>
  <c r="Q133" i="10"/>
  <c r="P133" i="10"/>
  <c r="O133" i="10"/>
  <c r="N133" i="10"/>
  <c r="M133" i="10"/>
  <c r="L133" i="10"/>
  <c r="K133" i="10"/>
  <c r="J133" i="10"/>
  <c r="I133" i="10"/>
  <c r="H133" i="10"/>
  <c r="G133" i="10"/>
  <c r="F133" i="10"/>
  <c r="E133" i="10"/>
  <c r="D133" i="10"/>
  <c r="C133" i="10"/>
  <c r="AB132" i="10"/>
  <c r="AA132" i="10"/>
  <c r="Z132" i="10"/>
  <c r="Y132" i="10"/>
  <c r="X132" i="10"/>
  <c r="W132" i="10"/>
  <c r="V132" i="10"/>
  <c r="U132" i="10"/>
  <c r="T132" i="10"/>
  <c r="S132" i="10"/>
  <c r="R132" i="10"/>
  <c r="Q132" i="10"/>
  <c r="P132" i="10"/>
  <c r="O132" i="10"/>
  <c r="N132" i="10"/>
  <c r="M132" i="10"/>
  <c r="L132" i="10"/>
  <c r="K132" i="10"/>
  <c r="J132" i="10"/>
  <c r="I132" i="10"/>
  <c r="H132" i="10"/>
  <c r="G132" i="10"/>
  <c r="F132" i="10"/>
  <c r="E132" i="10"/>
  <c r="D132" i="10"/>
  <c r="C132" i="10"/>
  <c r="AB131" i="10"/>
  <c r="AA131" i="10"/>
  <c r="Z131" i="10"/>
  <c r="Y131" i="10"/>
  <c r="X131" i="10"/>
  <c r="W131" i="10"/>
  <c r="V131" i="10"/>
  <c r="U131" i="10"/>
  <c r="T131" i="10"/>
  <c r="S131" i="10"/>
  <c r="R131" i="10"/>
  <c r="Q131" i="10"/>
  <c r="P131" i="10"/>
  <c r="O131" i="10"/>
  <c r="N131" i="10"/>
  <c r="M131" i="10"/>
  <c r="L131" i="10"/>
  <c r="K131" i="10"/>
  <c r="J131" i="10"/>
  <c r="I131" i="10"/>
  <c r="H131" i="10"/>
  <c r="G131" i="10"/>
  <c r="F131" i="10"/>
  <c r="E131" i="10"/>
  <c r="D131" i="10"/>
  <c r="C131" i="10"/>
  <c r="AB130" i="10"/>
  <c r="AA130" i="10"/>
  <c r="Z130" i="10"/>
  <c r="Y130" i="10"/>
  <c r="X130" i="10"/>
  <c r="W130" i="10"/>
  <c r="V130" i="10"/>
  <c r="U130" i="10"/>
  <c r="T130" i="10"/>
  <c r="S130" i="10"/>
  <c r="R130" i="10"/>
  <c r="Q130" i="10"/>
  <c r="P130" i="10"/>
  <c r="O130" i="10"/>
  <c r="N130" i="10"/>
  <c r="M130" i="10"/>
  <c r="L130" i="10"/>
  <c r="K130" i="10"/>
  <c r="J130" i="10"/>
  <c r="I130" i="10"/>
  <c r="H130" i="10"/>
  <c r="G130" i="10"/>
  <c r="F130" i="10"/>
  <c r="E130" i="10"/>
  <c r="D130" i="10"/>
  <c r="C130" i="10"/>
  <c r="AB129" i="10"/>
  <c r="AA129" i="10"/>
  <c r="Z129" i="10"/>
  <c r="Y129" i="10"/>
  <c r="X129" i="10"/>
  <c r="W129" i="10"/>
  <c r="V129" i="10"/>
  <c r="U129" i="10"/>
  <c r="T129" i="10"/>
  <c r="S129" i="10"/>
  <c r="R129" i="10"/>
  <c r="Q129" i="10"/>
  <c r="P129" i="10"/>
  <c r="O129" i="10"/>
  <c r="N129" i="10"/>
  <c r="M129" i="10"/>
  <c r="L129" i="10"/>
  <c r="K129" i="10"/>
  <c r="J129" i="10"/>
  <c r="I129" i="10"/>
  <c r="H129" i="10"/>
  <c r="G129" i="10"/>
  <c r="F129" i="10"/>
  <c r="E129" i="10"/>
  <c r="D129" i="10"/>
  <c r="C129" i="10"/>
  <c r="AB128" i="10"/>
  <c r="AA128" i="10"/>
  <c r="Z128" i="10"/>
  <c r="Y128" i="10"/>
  <c r="X128" i="10"/>
  <c r="W128" i="10"/>
  <c r="V128" i="10"/>
  <c r="U128" i="10"/>
  <c r="T128" i="10"/>
  <c r="S128" i="10"/>
  <c r="R128" i="10"/>
  <c r="Q128" i="10"/>
  <c r="P128" i="10"/>
  <c r="O128" i="10"/>
  <c r="N128" i="10"/>
  <c r="M128" i="10"/>
  <c r="L128" i="10"/>
  <c r="K128" i="10"/>
  <c r="J128" i="10"/>
  <c r="I128" i="10"/>
  <c r="H128" i="10"/>
  <c r="G128" i="10"/>
  <c r="F128" i="10"/>
  <c r="E128" i="10"/>
  <c r="D128" i="10"/>
  <c r="C128" i="10"/>
  <c r="AB127" i="10"/>
  <c r="AA127" i="10"/>
  <c r="Z127" i="10"/>
  <c r="Y127" i="10"/>
  <c r="X127" i="10"/>
  <c r="W127" i="10"/>
  <c r="V127" i="10"/>
  <c r="U127" i="10"/>
  <c r="T127" i="10"/>
  <c r="S127" i="10"/>
  <c r="R127" i="10"/>
  <c r="Q127" i="10"/>
  <c r="P127" i="10"/>
  <c r="O127" i="10"/>
  <c r="N127" i="10"/>
  <c r="M127" i="10"/>
  <c r="L127" i="10"/>
  <c r="K127" i="10"/>
  <c r="J127" i="10"/>
  <c r="I127" i="10"/>
  <c r="H127" i="10"/>
  <c r="G127" i="10"/>
  <c r="F127" i="10"/>
  <c r="E127" i="10"/>
  <c r="D127" i="10"/>
  <c r="C127" i="10"/>
  <c r="AB126" i="10"/>
  <c r="AA126" i="10"/>
  <c r="Z126" i="10"/>
  <c r="Y126" i="10"/>
  <c r="X126" i="10"/>
  <c r="W126" i="10"/>
  <c r="V126" i="10"/>
  <c r="U126" i="10"/>
  <c r="T126" i="10"/>
  <c r="S126" i="10"/>
  <c r="R126" i="10"/>
  <c r="Q126" i="10"/>
  <c r="P126" i="10"/>
  <c r="O126" i="10"/>
  <c r="N126" i="10"/>
  <c r="M126" i="10"/>
  <c r="L126" i="10"/>
  <c r="K126" i="10"/>
  <c r="J126" i="10"/>
  <c r="I126" i="10"/>
  <c r="H126" i="10"/>
  <c r="G126" i="10"/>
  <c r="F126" i="10"/>
  <c r="E126" i="10"/>
  <c r="D126" i="10"/>
  <c r="C126" i="10"/>
  <c r="AB125" i="10"/>
  <c r="AA125" i="10"/>
  <c r="Z125" i="10"/>
  <c r="Y125" i="10"/>
  <c r="X125" i="10"/>
  <c r="W125" i="10"/>
  <c r="V125" i="10"/>
  <c r="U125" i="10"/>
  <c r="T125" i="10"/>
  <c r="S125" i="10"/>
  <c r="R125" i="10"/>
  <c r="Q125" i="10"/>
  <c r="P125" i="10"/>
  <c r="O125" i="10"/>
  <c r="N125" i="10"/>
  <c r="M125" i="10"/>
  <c r="L125" i="10"/>
  <c r="K125" i="10"/>
  <c r="J125" i="10"/>
  <c r="I125" i="10"/>
  <c r="H125" i="10"/>
  <c r="G125" i="10"/>
  <c r="F125" i="10"/>
  <c r="E125" i="10"/>
  <c r="D125" i="10"/>
  <c r="C125" i="10"/>
  <c r="AB124" i="10"/>
  <c r="AA124" i="10"/>
  <c r="Z124" i="10"/>
  <c r="Y124" i="10"/>
  <c r="X124" i="10"/>
  <c r="W124" i="10"/>
  <c r="V124" i="10"/>
  <c r="U124" i="10"/>
  <c r="T124" i="10"/>
  <c r="S124" i="10"/>
  <c r="R124" i="10"/>
  <c r="Q124" i="10"/>
  <c r="P124" i="10"/>
  <c r="O124" i="10"/>
  <c r="N124" i="10"/>
  <c r="M124" i="10"/>
  <c r="L124" i="10"/>
  <c r="K124" i="10"/>
  <c r="J124" i="10"/>
  <c r="I124" i="10"/>
  <c r="H124" i="10"/>
  <c r="G124" i="10"/>
  <c r="F124" i="10"/>
  <c r="E124" i="10"/>
  <c r="D124" i="10"/>
  <c r="C124" i="10"/>
  <c r="AB123" i="10"/>
  <c r="AA123" i="10"/>
  <c r="Z123" i="10"/>
  <c r="Y123" i="10"/>
  <c r="X123" i="10"/>
  <c r="W123" i="10"/>
  <c r="V123" i="10"/>
  <c r="U123" i="10"/>
  <c r="T123" i="10"/>
  <c r="S123" i="10"/>
  <c r="R123" i="10"/>
  <c r="Q123" i="10"/>
  <c r="P123" i="10"/>
  <c r="O123" i="10"/>
  <c r="N123" i="10"/>
  <c r="M123" i="10"/>
  <c r="L123" i="10"/>
  <c r="K123" i="10"/>
  <c r="J123" i="10"/>
  <c r="I123" i="10"/>
  <c r="H123" i="10"/>
  <c r="G123" i="10"/>
  <c r="F123" i="10"/>
  <c r="E123" i="10"/>
  <c r="D123" i="10"/>
  <c r="C123" i="10"/>
  <c r="AB122" i="10"/>
  <c r="AA122" i="10"/>
  <c r="Z122" i="10"/>
  <c r="Y122" i="10"/>
  <c r="X122" i="10"/>
  <c r="W122" i="10"/>
  <c r="V122" i="10"/>
  <c r="U122" i="10"/>
  <c r="T122" i="10"/>
  <c r="S122" i="10"/>
  <c r="R122" i="10"/>
  <c r="Q122" i="10"/>
  <c r="P122" i="10"/>
  <c r="O122" i="10"/>
  <c r="N122" i="10"/>
  <c r="M122" i="10"/>
  <c r="L122" i="10"/>
  <c r="K122" i="10"/>
  <c r="J122" i="10"/>
  <c r="I122" i="10"/>
  <c r="H122" i="10"/>
  <c r="G122" i="10"/>
  <c r="F122" i="10"/>
  <c r="E122" i="10"/>
  <c r="D122" i="10"/>
  <c r="C122" i="10"/>
  <c r="AB121" i="10"/>
  <c r="AA121" i="10"/>
  <c r="Z121" i="10"/>
  <c r="Y121" i="10"/>
  <c r="X121" i="10"/>
  <c r="W121" i="10"/>
  <c r="V121" i="10"/>
  <c r="U121" i="10"/>
  <c r="T121" i="10"/>
  <c r="S121" i="10"/>
  <c r="R121" i="10"/>
  <c r="Q121" i="10"/>
  <c r="P121" i="10"/>
  <c r="O121" i="10"/>
  <c r="N121" i="10"/>
  <c r="M121" i="10"/>
  <c r="L121" i="10"/>
  <c r="K121" i="10"/>
  <c r="J121" i="10"/>
  <c r="I121" i="10"/>
  <c r="H121" i="10"/>
  <c r="G121" i="10"/>
  <c r="F121" i="10"/>
  <c r="E121" i="10"/>
  <c r="D121" i="10"/>
  <c r="C121" i="10"/>
  <c r="AB120" i="10"/>
  <c r="AA120" i="10"/>
  <c r="Z120" i="10"/>
  <c r="Y120" i="10"/>
  <c r="X120" i="10"/>
  <c r="W120" i="10"/>
  <c r="V120" i="10"/>
  <c r="U120" i="10"/>
  <c r="T120" i="10"/>
  <c r="S120" i="10"/>
  <c r="R120" i="10"/>
  <c r="Q120" i="10"/>
  <c r="P120" i="10"/>
  <c r="O120" i="10"/>
  <c r="N120" i="10"/>
  <c r="M120" i="10"/>
  <c r="L120" i="10"/>
  <c r="K120" i="10"/>
  <c r="J120" i="10"/>
  <c r="I120" i="10"/>
  <c r="H120" i="10"/>
  <c r="G120" i="10"/>
  <c r="F120" i="10"/>
  <c r="E120" i="10"/>
  <c r="D120" i="10"/>
  <c r="C120" i="10"/>
  <c r="AB119" i="10"/>
  <c r="AA119" i="10"/>
  <c r="Z119" i="10"/>
  <c r="Y119" i="10"/>
  <c r="X119" i="10"/>
  <c r="W119" i="10"/>
  <c r="V119" i="10"/>
  <c r="U119" i="10"/>
  <c r="T119" i="10"/>
  <c r="S119" i="10"/>
  <c r="R119" i="10"/>
  <c r="Q119" i="10"/>
  <c r="P119" i="10"/>
  <c r="O119" i="10"/>
  <c r="N119" i="10"/>
  <c r="M119" i="10"/>
  <c r="L119" i="10"/>
  <c r="K119" i="10"/>
  <c r="J119" i="10"/>
  <c r="I119" i="10"/>
  <c r="H119" i="10"/>
  <c r="G119" i="10"/>
  <c r="F119" i="10"/>
  <c r="E119" i="10"/>
  <c r="D119" i="10"/>
  <c r="C119" i="10"/>
  <c r="AB118" i="10"/>
  <c r="AA118" i="10"/>
  <c r="Z118" i="10"/>
  <c r="Y118" i="10"/>
  <c r="X118" i="10"/>
  <c r="W118" i="10"/>
  <c r="V118" i="10"/>
  <c r="U118" i="10"/>
  <c r="T118" i="10"/>
  <c r="S118" i="10"/>
  <c r="R118" i="10"/>
  <c r="Q118" i="10"/>
  <c r="P118" i="10"/>
  <c r="O118" i="10"/>
  <c r="N118" i="10"/>
  <c r="M118" i="10"/>
  <c r="L118" i="10"/>
  <c r="K118" i="10"/>
  <c r="J118" i="10"/>
  <c r="I118" i="10"/>
  <c r="H118" i="10"/>
  <c r="G118" i="10"/>
  <c r="F118" i="10"/>
  <c r="E118" i="10"/>
  <c r="D118" i="10"/>
  <c r="C118" i="10"/>
  <c r="AB117" i="10"/>
  <c r="AA117" i="10"/>
  <c r="Z117" i="10"/>
  <c r="Y117" i="10"/>
  <c r="X117" i="10"/>
  <c r="W117" i="10"/>
  <c r="V117" i="10"/>
  <c r="U117" i="10"/>
  <c r="T117" i="10"/>
  <c r="S117" i="10"/>
  <c r="R117" i="10"/>
  <c r="Q117" i="10"/>
  <c r="P117" i="10"/>
  <c r="O117" i="10"/>
  <c r="N117" i="10"/>
  <c r="M117" i="10"/>
  <c r="L117" i="10"/>
  <c r="K117" i="10"/>
  <c r="J117" i="10"/>
  <c r="I117" i="10"/>
  <c r="H117" i="10"/>
  <c r="G117" i="10"/>
  <c r="F117" i="10"/>
  <c r="E117" i="10"/>
  <c r="D117" i="10"/>
  <c r="C117" i="10"/>
  <c r="AB116" i="10"/>
  <c r="AA116" i="10"/>
  <c r="Z116" i="10"/>
  <c r="Y116" i="10"/>
  <c r="X116" i="10"/>
  <c r="W116" i="10"/>
  <c r="V116" i="10"/>
  <c r="U116" i="10"/>
  <c r="T116" i="10"/>
  <c r="S116" i="10"/>
  <c r="R116" i="10"/>
  <c r="Q116" i="10"/>
  <c r="P116" i="10"/>
  <c r="O116" i="10"/>
  <c r="N116" i="10"/>
  <c r="M116" i="10"/>
  <c r="L116" i="10"/>
  <c r="K116" i="10"/>
  <c r="J116" i="10"/>
  <c r="I116" i="10"/>
  <c r="H116" i="10"/>
  <c r="G116" i="10"/>
  <c r="F116" i="10"/>
  <c r="E116" i="10"/>
  <c r="D116" i="10"/>
  <c r="C116" i="10"/>
  <c r="AB115" i="10"/>
  <c r="AA115" i="10"/>
  <c r="Z115" i="10"/>
  <c r="Y115" i="10"/>
  <c r="X115" i="10"/>
  <c r="W115" i="10"/>
  <c r="V115" i="10"/>
  <c r="U115" i="10"/>
  <c r="T115" i="10"/>
  <c r="S115" i="10"/>
  <c r="R115" i="10"/>
  <c r="Q115" i="10"/>
  <c r="P115" i="10"/>
  <c r="O115" i="10"/>
  <c r="N115" i="10"/>
  <c r="M115" i="10"/>
  <c r="L115" i="10"/>
  <c r="K115" i="10"/>
  <c r="J115" i="10"/>
  <c r="I115" i="10"/>
  <c r="H115" i="10"/>
  <c r="G115" i="10"/>
  <c r="F115" i="10"/>
  <c r="E115" i="10"/>
  <c r="D115" i="10"/>
  <c r="C115" i="10"/>
  <c r="AB114" i="10"/>
  <c r="AA114" i="10"/>
  <c r="Z114" i="10"/>
  <c r="Y114" i="10"/>
  <c r="X114" i="10"/>
  <c r="W114" i="10"/>
  <c r="V114" i="10"/>
  <c r="U114" i="10"/>
  <c r="T114" i="10"/>
  <c r="S114" i="10"/>
  <c r="R114" i="10"/>
  <c r="Q114" i="10"/>
  <c r="P114" i="10"/>
  <c r="O114" i="10"/>
  <c r="N114" i="10"/>
  <c r="M114" i="10"/>
  <c r="L114" i="10"/>
  <c r="K114" i="10"/>
  <c r="J114" i="10"/>
  <c r="I114" i="10"/>
  <c r="H114" i="10"/>
  <c r="G114" i="10"/>
  <c r="F114" i="10"/>
  <c r="E114" i="10"/>
  <c r="D114" i="10"/>
  <c r="C114" i="10"/>
  <c r="AB113" i="10"/>
  <c r="AA113" i="10"/>
  <c r="Z113" i="10"/>
  <c r="Y113" i="10"/>
  <c r="X113" i="10"/>
  <c r="W113" i="10"/>
  <c r="V113" i="10"/>
  <c r="U113" i="10"/>
  <c r="T113" i="10"/>
  <c r="S113" i="10"/>
  <c r="R113" i="10"/>
  <c r="Q113" i="10"/>
  <c r="P113" i="10"/>
  <c r="O113" i="10"/>
  <c r="N113" i="10"/>
  <c r="M113" i="10"/>
  <c r="L113" i="10"/>
  <c r="K113" i="10"/>
  <c r="J113" i="10"/>
  <c r="I113" i="10"/>
  <c r="H113" i="10"/>
  <c r="G113" i="10"/>
  <c r="F113" i="10"/>
  <c r="E113" i="10"/>
  <c r="D113" i="10"/>
  <c r="C113" i="10"/>
  <c r="AB112" i="10"/>
  <c r="AA112" i="10"/>
  <c r="Z112" i="10"/>
  <c r="Y112" i="10"/>
  <c r="X112" i="10"/>
  <c r="W112" i="10"/>
  <c r="V112" i="10"/>
  <c r="U112" i="10"/>
  <c r="T112" i="10"/>
  <c r="S112" i="10"/>
  <c r="R112" i="10"/>
  <c r="Q112" i="10"/>
  <c r="P112" i="10"/>
  <c r="O112" i="10"/>
  <c r="N112" i="10"/>
  <c r="M112" i="10"/>
  <c r="L112" i="10"/>
  <c r="K112" i="10"/>
  <c r="J112" i="10"/>
  <c r="I112" i="10"/>
  <c r="H112" i="10"/>
  <c r="G112" i="10"/>
  <c r="F112" i="10"/>
  <c r="E112" i="10"/>
  <c r="D112" i="10"/>
  <c r="C112" i="10"/>
  <c r="AB111" i="10"/>
  <c r="AA111" i="10"/>
  <c r="Z111" i="10"/>
  <c r="Y111" i="10"/>
  <c r="X111" i="10"/>
  <c r="W111" i="10"/>
  <c r="V111" i="10"/>
  <c r="U111" i="10"/>
  <c r="T111" i="10"/>
  <c r="S111" i="10"/>
  <c r="R111" i="10"/>
  <c r="Q111" i="10"/>
  <c r="P111" i="10"/>
  <c r="O111" i="10"/>
  <c r="N111" i="10"/>
  <c r="M111" i="10"/>
  <c r="L111" i="10"/>
  <c r="K111" i="10"/>
  <c r="J111" i="10"/>
  <c r="I111" i="10"/>
  <c r="H111" i="10"/>
  <c r="G111" i="10"/>
  <c r="F111" i="10"/>
  <c r="E111" i="10"/>
  <c r="D111" i="10"/>
  <c r="C111" i="10"/>
  <c r="AB110" i="10"/>
  <c r="AA110" i="10"/>
  <c r="Z110" i="10"/>
  <c r="Y110" i="10"/>
  <c r="X110" i="10"/>
  <c r="W110" i="10"/>
  <c r="V110" i="10"/>
  <c r="U110" i="10"/>
  <c r="T110" i="10"/>
  <c r="S110" i="10"/>
  <c r="R110" i="10"/>
  <c r="Q110" i="10"/>
  <c r="P110" i="10"/>
  <c r="O110" i="10"/>
  <c r="N110" i="10"/>
  <c r="M110" i="10"/>
  <c r="L110" i="10"/>
  <c r="K110" i="10"/>
  <c r="J110" i="10"/>
  <c r="I110" i="10"/>
  <c r="H110" i="10"/>
  <c r="G110" i="10"/>
  <c r="F110" i="10"/>
  <c r="E110" i="10"/>
  <c r="D110" i="10"/>
  <c r="C110" i="10"/>
  <c r="AB109" i="10"/>
  <c r="AA109" i="10"/>
  <c r="Z109" i="10"/>
  <c r="Y109" i="10"/>
  <c r="X109" i="10"/>
  <c r="W109" i="10"/>
  <c r="V109" i="10"/>
  <c r="U109" i="10"/>
  <c r="T109" i="10"/>
  <c r="S109" i="10"/>
  <c r="R109" i="10"/>
  <c r="Q109" i="10"/>
  <c r="P109" i="10"/>
  <c r="O109" i="10"/>
  <c r="N109" i="10"/>
  <c r="M109" i="10"/>
  <c r="L109" i="10"/>
  <c r="K109" i="10"/>
  <c r="J109" i="10"/>
  <c r="I109" i="10"/>
  <c r="H109" i="10"/>
  <c r="G109" i="10"/>
  <c r="F109" i="10"/>
  <c r="E109" i="10"/>
  <c r="D109" i="10"/>
  <c r="C109" i="10"/>
  <c r="AB108" i="10"/>
  <c r="AA108" i="10"/>
  <c r="Z108" i="10"/>
  <c r="Y108" i="10"/>
  <c r="X108" i="10"/>
  <c r="W108" i="10"/>
  <c r="V108" i="10"/>
  <c r="U108" i="10"/>
  <c r="T108" i="10"/>
  <c r="S108" i="10"/>
  <c r="R108" i="10"/>
  <c r="Q108" i="10"/>
  <c r="P108" i="10"/>
  <c r="O108" i="10"/>
  <c r="N108" i="10"/>
  <c r="M108" i="10"/>
  <c r="L108" i="10"/>
  <c r="K108" i="10"/>
  <c r="J108" i="10"/>
  <c r="I108" i="10"/>
  <c r="H108" i="10"/>
  <c r="G108" i="10"/>
  <c r="F108" i="10"/>
  <c r="E108" i="10"/>
  <c r="D108" i="10"/>
  <c r="C108" i="10"/>
  <c r="AB107" i="10"/>
  <c r="AA107" i="10"/>
  <c r="Z107" i="10"/>
  <c r="Y107" i="10"/>
  <c r="X107" i="10"/>
  <c r="W107" i="10"/>
  <c r="V107" i="10"/>
  <c r="U107" i="10"/>
  <c r="T107" i="10"/>
  <c r="S107" i="10"/>
  <c r="R107" i="10"/>
  <c r="Q107" i="10"/>
  <c r="P107" i="10"/>
  <c r="O107" i="10"/>
  <c r="N107" i="10"/>
  <c r="M107" i="10"/>
  <c r="L107" i="10"/>
  <c r="K107" i="10"/>
  <c r="J107" i="10"/>
  <c r="I107" i="10"/>
  <c r="H107" i="10"/>
  <c r="G107" i="10"/>
  <c r="F107" i="10"/>
  <c r="E107" i="10"/>
  <c r="D107" i="10"/>
  <c r="C107" i="10"/>
  <c r="AB106" i="10"/>
  <c r="AA106" i="10"/>
  <c r="Z106" i="10"/>
  <c r="Y106" i="10"/>
  <c r="X106" i="10"/>
  <c r="W106" i="10"/>
  <c r="V106" i="10"/>
  <c r="U106" i="10"/>
  <c r="T106" i="10"/>
  <c r="S106" i="10"/>
  <c r="R106" i="10"/>
  <c r="Q106" i="10"/>
  <c r="P106" i="10"/>
  <c r="O106" i="10"/>
  <c r="N106" i="10"/>
  <c r="M106" i="10"/>
  <c r="L106" i="10"/>
  <c r="K106" i="10"/>
  <c r="J106" i="10"/>
  <c r="I106" i="10"/>
  <c r="H106" i="10"/>
  <c r="G106" i="10"/>
  <c r="F106" i="10"/>
  <c r="E106" i="10"/>
  <c r="D106" i="10"/>
  <c r="C106" i="10"/>
  <c r="AB105" i="10"/>
  <c r="AA105" i="10"/>
  <c r="Z105" i="10"/>
  <c r="Y105" i="10"/>
  <c r="X105" i="10"/>
  <c r="W105" i="10"/>
  <c r="V105" i="10"/>
  <c r="U105" i="10"/>
  <c r="T105" i="10"/>
  <c r="S105" i="10"/>
  <c r="R105" i="10"/>
  <c r="Q105" i="10"/>
  <c r="P105" i="10"/>
  <c r="O105" i="10"/>
  <c r="N105" i="10"/>
  <c r="M105" i="10"/>
  <c r="L105" i="10"/>
  <c r="K105" i="10"/>
  <c r="J105" i="10"/>
  <c r="I105" i="10"/>
  <c r="H105" i="10"/>
  <c r="G105" i="10"/>
  <c r="F105" i="10"/>
  <c r="E105" i="10"/>
  <c r="D105" i="10"/>
  <c r="C105" i="10"/>
  <c r="AB104" i="10"/>
  <c r="AA104" i="10"/>
  <c r="Z104" i="10"/>
  <c r="Y104" i="10"/>
  <c r="X104" i="10"/>
  <c r="W104" i="10"/>
  <c r="V104" i="10"/>
  <c r="U104" i="10"/>
  <c r="T104" i="10"/>
  <c r="S104" i="10"/>
  <c r="R104" i="10"/>
  <c r="Q104" i="10"/>
  <c r="P104" i="10"/>
  <c r="O104" i="10"/>
  <c r="N104" i="10"/>
  <c r="M104" i="10"/>
  <c r="L104" i="10"/>
  <c r="K104" i="10"/>
  <c r="J104" i="10"/>
  <c r="I104" i="10"/>
  <c r="H104" i="10"/>
  <c r="G104" i="10"/>
  <c r="F104" i="10"/>
  <c r="E104" i="10"/>
  <c r="D104" i="10"/>
  <c r="C104" i="10"/>
  <c r="AB103" i="10"/>
  <c r="AA103" i="10"/>
  <c r="Z103" i="10"/>
  <c r="Y103" i="10"/>
  <c r="X103" i="10"/>
  <c r="W103" i="10"/>
  <c r="V103" i="10"/>
  <c r="U103" i="10"/>
  <c r="T103" i="10"/>
  <c r="S103" i="10"/>
  <c r="R103" i="10"/>
  <c r="Q103" i="10"/>
  <c r="P103" i="10"/>
  <c r="O103" i="10"/>
  <c r="N103" i="10"/>
  <c r="M103" i="10"/>
  <c r="L103" i="10"/>
  <c r="K103" i="10"/>
  <c r="J103" i="10"/>
  <c r="I103" i="10"/>
  <c r="H103" i="10"/>
  <c r="G103" i="10"/>
  <c r="F103" i="10"/>
  <c r="E103" i="10"/>
  <c r="D103" i="10"/>
  <c r="C103" i="10"/>
  <c r="AB102" i="10"/>
  <c r="AA102" i="10"/>
  <c r="Z102" i="10"/>
  <c r="Y102" i="10"/>
  <c r="X102" i="10"/>
  <c r="W102" i="10"/>
  <c r="V102" i="10"/>
  <c r="U102" i="10"/>
  <c r="T102" i="10"/>
  <c r="S102" i="10"/>
  <c r="R102" i="10"/>
  <c r="Q102" i="10"/>
  <c r="P102" i="10"/>
  <c r="O102" i="10"/>
  <c r="N102" i="10"/>
  <c r="M102" i="10"/>
  <c r="L102" i="10"/>
  <c r="K102" i="10"/>
  <c r="J102" i="10"/>
  <c r="I102" i="10"/>
  <c r="H102" i="10"/>
  <c r="G102" i="10"/>
  <c r="F102" i="10"/>
  <c r="E102" i="10"/>
  <c r="D102" i="10"/>
  <c r="C102" i="10"/>
  <c r="AB101" i="10"/>
  <c r="AA101" i="10"/>
  <c r="Z101" i="10"/>
  <c r="Y101" i="10"/>
  <c r="X101" i="10"/>
  <c r="W101" i="10"/>
  <c r="V101" i="10"/>
  <c r="U101" i="10"/>
  <c r="T101" i="10"/>
  <c r="S101" i="10"/>
  <c r="R101" i="10"/>
  <c r="Q101" i="10"/>
  <c r="P101" i="10"/>
  <c r="O101" i="10"/>
  <c r="N101" i="10"/>
  <c r="M101" i="10"/>
  <c r="L101" i="10"/>
  <c r="K101" i="10"/>
  <c r="J101" i="10"/>
  <c r="I101" i="10"/>
  <c r="H101" i="10"/>
  <c r="G101" i="10"/>
  <c r="F101" i="10"/>
  <c r="E101" i="10"/>
  <c r="D101" i="10"/>
  <c r="C101" i="10"/>
  <c r="AB100" i="10"/>
  <c r="AA100" i="10"/>
  <c r="Z100" i="10"/>
  <c r="Y100" i="10"/>
  <c r="X100" i="10"/>
  <c r="W100" i="10"/>
  <c r="V100" i="10"/>
  <c r="U100" i="10"/>
  <c r="T100" i="10"/>
  <c r="S100" i="10"/>
  <c r="R100" i="10"/>
  <c r="Q100" i="10"/>
  <c r="P100" i="10"/>
  <c r="O100" i="10"/>
  <c r="N100" i="10"/>
  <c r="M100" i="10"/>
  <c r="L100" i="10"/>
  <c r="K100" i="10"/>
  <c r="J100" i="10"/>
  <c r="I100" i="10"/>
  <c r="H100" i="10"/>
  <c r="G100" i="10"/>
  <c r="F100" i="10"/>
  <c r="E100" i="10"/>
  <c r="D100" i="10"/>
  <c r="C100" i="10"/>
  <c r="AB99" i="10"/>
  <c r="AA99" i="10"/>
  <c r="Z99" i="10"/>
  <c r="Y99" i="10"/>
  <c r="X99" i="10"/>
  <c r="W99" i="10"/>
  <c r="V99" i="10"/>
  <c r="U99" i="10"/>
  <c r="T99" i="10"/>
  <c r="S99" i="10"/>
  <c r="R99" i="10"/>
  <c r="Q99" i="10"/>
  <c r="P99" i="10"/>
  <c r="O99" i="10"/>
  <c r="N99" i="10"/>
  <c r="M99" i="10"/>
  <c r="L99" i="10"/>
  <c r="K99" i="10"/>
  <c r="J99" i="10"/>
  <c r="I99" i="10"/>
  <c r="H99" i="10"/>
  <c r="G99" i="10"/>
  <c r="F99" i="10"/>
  <c r="E99" i="10"/>
  <c r="D99" i="10"/>
  <c r="C99" i="10"/>
  <c r="AB98" i="10"/>
  <c r="AA98" i="10"/>
  <c r="Z98" i="10"/>
  <c r="Y98" i="10"/>
  <c r="X98" i="10"/>
  <c r="W98" i="10"/>
  <c r="V98" i="10"/>
  <c r="U98" i="10"/>
  <c r="T98" i="10"/>
  <c r="S98" i="10"/>
  <c r="R98" i="10"/>
  <c r="Q98" i="10"/>
  <c r="P98" i="10"/>
  <c r="O98" i="10"/>
  <c r="N98" i="10"/>
  <c r="M98" i="10"/>
  <c r="L98" i="10"/>
  <c r="K98" i="10"/>
  <c r="J98" i="10"/>
  <c r="I98" i="10"/>
  <c r="H98" i="10"/>
  <c r="G98" i="10"/>
  <c r="F98" i="10"/>
  <c r="E98" i="10"/>
  <c r="D98" i="10"/>
  <c r="C98" i="10"/>
  <c r="AB97" i="10"/>
  <c r="AA97" i="10"/>
  <c r="Z97" i="10"/>
  <c r="Y97" i="10"/>
  <c r="X97" i="10"/>
  <c r="W97" i="10"/>
  <c r="V97" i="10"/>
  <c r="U97" i="10"/>
  <c r="T97" i="10"/>
  <c r="S97" i="10"/>
  <c r="R97" i="10"/>
  <c r="Q97" i="10"/>
  <c r="P97" i="10"/>
  <c r="O97" i="10"/>
  <c r="N97" i="10"/>
  <c r="M97" i="10"/>
  <c r="L97" i="10"/>
  <c r="K97" i="10"/>
  <c r="J97" i="10"/>
  <c r="I97" i="10"/>
  <c r="H97" i="10"/>
  <c r="G97" i="10"/>
  <c r="F97" i="10"/>
  <c r="E97" i="10"/>
  <c r="D97" i="10"/>
  <c r="C97" i="10"/>
  <c r="AB96" i="10"/>
  <c r="AA96" i="10"/>
  <c r="Z96" i="10"/>
  <c r="Y96" i="10"/>
  <c r="X96" i="10"/>
  <c r="W96" i="10"/>
  <c r="V96" i="10"/>
  <c r="U96" i="10"/>
  <c r="T96" i="10"/>
  <c r="S96" i="10"/>
  <c r="R96" i="10"/>
  <c r="Q96" i="10"/>
  <c r="P96" i="10"/>
  <c r="O96" i="10"/>
  <c r="N96" i="10"/>
  <c r="M96" i="10"/>
  <c r="L96" i="10"/>
  <c r="K96" i="10"/>
  <c r="J96" i="10"/>
  <c r="I96" i="10"/>
  <c r="H96" i="10"/>
  <c r="G96" i="10"/>
  <c r="F96" i="10"/>
  <c r="E96" i="10"/>
  <c r="D96" i="10"/>
  <c r="C96" i="10"/>
  <c r="AB95" i="10"/>
  <c r="AA95" i="10"/>
  <c r="Z95" i="10"/>
  <c r="Y95" i="10"/>
  <c r="X95" i="10"/>
  <c r="W95" i="10"/>
  <c r="V95" i="10"/>
  <c r="U95" i="10"/>
  <c r="T95" i="10"/>
  <c r="S95" i="10"/>
  <c r="R95" i="10"/>
  <c r="Q95" i="10"/>
  <c r="P95" i="10"/>
  <c r="O95" i="10"/>
  <c r="N95" i="10"/>
  <c r="M95" i="10"/>
  <c r="L95" i="10"/>
  <c r="K95" i="10"/>
  <c r="J95" i="10"/>
  <c r="I95" i="10"/>
  <c r="H95" i="10"/>
  <c r="G95" i="10"/>
  <c r="F95" i="10"/>
  <c r="E95" i="10"/>
  <c r="D95" i="10"/>
  <c r="C95" i="10"/>
  <c r="AB94" i="10"/>
  <c r="AA94" i="10"/>
  <c r="Z94" i="10"/>
  <c r="Y94" i="10"/>
  <c r="X94" i="10"/>
  <c r="W94" i="10"/>
  <c r="V94" i="10"/>
  <c r="U94" i="10"/>
  <c r="T94" i="10"/>
  <c r="S94" i="10"/>
  <c r="R94" i="10"/>
  <c r="Q94" i="10"/>
  <c r="P94" i="10"/>
  <c r="O94" i="10"/>
  <c r="N94" i="10"/>
  <c r="M94" i="10"/>
  <c r="L94" i="10"/>
  <c r="K94" i="10"/>
  <c r="J94" i="10"/>
  <c r="I94" i="10"/>
  <c r="H94" i="10"/>
  <c r="G94" i="10"/>
  <c r="F94" i="10"/>
  <c r="E94" i="10"/>
  <c r="D94" i="10"/>
  <c r="C94" i="10"/>
  <c r="AB93" i="10"/>
  <c r="AA93" i="10"/>
  <c r="Z93" i="10"/>
  <c r="Y93" i="10"/>
  <c r="X93" i="10"/>
  <c r="W93" i="10"/>
  <c r="V93" i="10"/>
  <c r="U93" i="10"/>
  <c r="T93" i="10"/>
  <c r="S93" i="10"/>
  <c r="R93" i="10"/>
  <c r="Q93" i="10"/>
  <c r="P93" i="10"/>
  <c r="O93" i="10"/>
  <c r="N93" i="10"/>
  <c r="M93" i="10"/>
  <c r="L93" i="10"/>
  <c r="K93" i="10"/>
  <c r="J93" i="10"/>
  <c r="I93" i="10"/>
  <c r="H93" i="10"/>
  <c r="G93" i="10"/>
  <c r="F93" i="10"/>
  <c r="E93" i="10"/>
  <c r="D93" i="10"/>
  <c r="C93" i="10"/>
  <c r="AB92" i="10"/>
  <c r="AA92" i="10"/>
  <c r="Z92" i="10"/>
  <c r="Y92" i="10"/>
  <c r="X92" i="10"/>
  <c r="W92" i="10"/>
  <c r="V92" i="10"/>
  <c r="U92" i="10"/>
  <c r="T92" i="10"/>
  <c r="S92" i="10"/>
  <c r="R92" i="10"/>
  <c r="Q92" i="10"/>
  <c r="P92" i="10"/>
  <c r="O92" i="10"/>
  <c r="N92" i="10"/>
  <c r="M92" i="10"/>
  <c r="L92" i="10"/>
  <c r="K92" i="10"/>
  <c r="J92" i="10"/>
  <c r="I92" i="10"/>
  <c r="H92" i="10"/>
  <c r="G92" i="10"/>
  <c r="F92" i="10"/>
  <c r="E92" i="10"/>
  <c r="D92" i="10"/>
  <c r="C92" i="10"/>
  <c r="AB91" i="10"/>
  <c r="AA91" i="10"/>
  <c r="Z91" i="10"/>
  <c r="Y91" i="10"/>
  <c r="X91" i="10"/>
  <c r="W91" i="10"/>
  <c r="V91" i="10"/>
  <c r="U91" i="10"/>
  <c r="T91" i="10"/>
  <c r="S91" i="10"/>
  <c r="R91" i="10"/>
  <c r="Q91" i="10"/>
  <c r="P91" i="10"/>
  <c r="O91" i="10"/>
  <c r="N91" i="10"/>
  <c r="M91" i="10"/>
  <c r="L91" i="10"/>
  <c r="K91" i="10"/>
  <c r="J91" i="10"/>
  <c r="I91" i="10"/>
  <c r="H91" i="10"/>
  <c r="G91" i="10"/>
  <c r="F91" i="10"/>
  <c r="E91" i="10"/>
  <c r="D91" i="10"/>
  <c r="C91" i="10"/>
  <c r="AB90" i="10"/>
  <c r="AA90" i="10"/>
  <c r="Z90" i="10"/>
  <c r="Y90" i="10"/>
  <c r="X90" i="10"/>
  <c r="W90" i="10"/>
  <c r="V90" i="10"/>
  <c r="U90" i="10"/>
  <c r="T90" i="10"/>
  <c r="S90" i="10"/>
  <c r="R90" i="10"/>
  <c r="Q90" i="10"/>
  <c r="P90" i="10"/>
  <c r="O90" i="10"/>
  <c r="N90" i="10"/>
  <c r="M90" i="10"/>
  <c r="L90" i="10"/>
  <c r="K90" i="10"/>
  <c r="J90" i="10"/>
  <c r="I90" i="10"/>
  <c r="H90" i="10"/>
  <c r="G90" i="10"/>
  <c r="F90" i="10"/>
  <c r="E90" i="10"/>
  <c r="D90" i="10"/>
  <c r="C90" i="10"/>
  <c r="AB89" i="10"/>
  <c r="AA89" i="10"/>
  <c r="Z89" i="10"/>
  <c r="Y89" i="10"/>
  <c r="X89" i="10"/>
  <c r="W89" i="10"/>
  <c r="V89" i="10"/>
  <c r="U89" i="10"/>
  <c r="T89" i="10"/>
  <c r="S89" i="10"/>
  <c r="R89" i="10"/>
  <c r="Q89" i="10"/>
  <c r="P89" i="10"/>
  <c r="O89" i="10"/>
  <c r="N89" i="10"/>
  <c r="M89" i="10"/>
  <c r="L89" i="10"/>
  <c r="K89" i="10"/>
  <c r="J89" i="10"/>
  <c r="I89" i="10"/>
  <c r="H89" i="10"/>
  <c r="G89" i="10"/>
  <c r="F89" i="10"/>
  <c r="E89" i="10"/>
  <c r="D89" i="10"/>
  <c r="C89" i="10"/>
  <c r="AB88" i="10"/>
  <c r="AA88" i="10"/>
  <c r="Z88" i="10"/>
  <c r="Y88" i="10"/>
  <c r="X88" i="10"/>
  <c r="W88" i="10"/>
  <c r="V88" i="10"/>
  <c r="U88" i="10"/>
  <c r="T88" i="10"/>
  <c r="S88" i="10"/>
  <c r="R88" i="10"/>
  <c r="Q88" i="10"/>
  <c r="P88" i="10"/>
  <c r="O88" i="10"/>
  <c r="N88" i="10"/>
  <c r="M88" i="10"/>
  <c r="L88" i="10"/>
  <c r="K88" i="10"/>
  <c r="J88" i="10"/>
  <c r="I88" i="10"/>
  <c r="H88" i="10"/>
  <c r="G88" i="10"/>
  <c r="F88" i="10"/>
  <c r="E88" i="10"/>
  <c r="D88" i="10"/>
  <c r="C88" i="10"/>
  <c r="AB87" i="10"/>
  <c r="AA87" i="10"/>
  <c r="Z87" i="10"/>
  <c r="Y87" i="10"/>
  <c r="X87" i="10"/>
  <c r="W87" i="10"/>
  <c r="V87" i="10"/>
  <c r="U87" i="10"/>
  <c r="T87" i="10"/>
  <c r="S87" i="10"/>
  <c r="R87" i="10"/>
  <c r="Q87" i="10"/>
  <c r="P87" i="10"/>
  <c r="O87" i="10"/>
  <c r="N87" i="10"/>
  <c r="M87" i="10"/>
  <c r="L87" i="10"/>
  <c r="K87" i="10"/>
  <c r="J87" i="10"/>
  <c r="I87" i="10"/>
  <c r="H87" i="10"/>
  <c r="G87" i="10"/>
  <c r="F87" i="10"/>
  <c r="E87" i="10"/>
  <c r="D87" i="10"/>
  <c r="C87" i="10"/>
  <c r="AB86" i="10"/>
  <c r="AA86" i="10"/>
  <c r="Z86" i="10"/>
  <c r="Y86" i="10"/>
  <c r="X86" i="10"/>
  <c r="W86" i="10"/>
  <c r="V86" i="10"/>
  <c r="U86" i="10"/>
  <c r="T86" i="10"/>
  <c r="S86" i="10"/>
  <c r="R86" i="10"/>
  <c r="Q86" i="10"/>
  <c r="P86" i="10"/>
  <c r="O86" i="10"/>
  <c r="N86" i="10"/>
  <c r="M86" i="10"/>
  <c r="L86" i="10"/>
  <c r="K86" i="10"/>
  <c r="J86" i="10"/>
  <c r="I86" i="10"/>
  <c r="H86" i="10"/>
  <c r="G86" i="10"/>
  <c r="F86" i="10"/>
  <c r="E86" i="10"/>
  <c r="D86" i="10"/>
  <c r="C86" i="10"/>
  <c r="AB85" i="10"/>
  <c r="AA85" i="10"/>
  <c r="Z85" i="10"/>
  <c r="Y85" i="10"/>
  <c r="X85" i="10"/>
  <c r="W85" i="10"/>
  <c r="V85" i="10"/>
  <c r="U85" i="10"/>
  <c r="T85" i="10"/>
  <c r="S85" i="10"/>
  <c r="R85" i="10"/>
  <c r="Q85" i="10"/>
  <c r="P85" i="10"/>
  <c r="O85" i="10"/>
  <c r="N85" i="10"/>
  <c r="M85" i="10"/>
  <c r="L85" i="10"/>
  <c r="K85" i="10"/>
  <c r="J85" i="10"/>
  <c r="I85" i="10"/>
  <c r="H85" i="10"/>
  <c r="G85" i="10"/>
  <c r="F85" i="10"/>
  <c r="E85" i="10"/>
  <c r="D85" i="10"/>
  <c r="C85" i="10"/>
  <c r="AB84" i="10"/>
  <c r="AA84" i="10"/>
  <c r="Z84" i="10"/>
  <c r="Y84" i="10"/>
  <c r="X84" i="10"/>
  <c r="W84" i="10"/>
  <c r="V84" i="10"/>
  <c r="U84" i="10"/>
  <c r="T84" i="10"/>
  <c r="S84" i="10"/>
  <c r="R84" i="10"/>
  <c r="Q84" i="10"/>
  <c r="P84" i="10"/>
  <c r="O84" i="10"/>
  <c r="N84" i="10"/>
  <c r="M84" i="10"/>
  <c r="L84" i="10"/>
  <c r="K84" i="10"/>
  <c r="J84" i="10"/>
  <c r="I84" i="10"/>
  <c r="H84" i="10"/>
  <c r="G84" i="10"/>
  <c r="F84" i="10"/>
  <c r="E84" i="10"/>
  <c r="D84" i="10"/>
  <c r="C84" i="10"/>
  <c r="AB83" i="10"/>
  <c r="AA83" i="10"/>
  <c r="Z83" i="10"/>
  <c r="Y83" i="10"/>
  <c r="X83" i="10"/>
  <c r="W83" i="10"/>
  <c r="V83" i="10"/>
  <c r="U83" i="10"/>
  <c r="T83" i="10"/>
  <c r="S83" i="10"/>
  <c r="R83" i="10"/>
  <c r="Q83" i="10"/>
  <c r="P83" i="10"/>
  <c r="O83" i="10"/>
  <c r="N83" i="10"/>
  <c r="M83" i="10"/>
  <c r="L83" i="10"/>
  <c r="K83" i="10"/>
  <c r="J83" i="10"/>
  <c r="I83" i="10"/>
  <c r="H83" i="10"/>
  <c r="G83" i="10"/>
  <c r="F83" i="10"/>
  <c r="E83" i="10"/>
  <c r="D83" i="10"/>
  <c r="C83" i="10"/>
  <c r="AB82" i="10"/>
  <c r="AA82" i="10"/>
  <c r="Z82" i="10"/>
  <c r="Y82" i="10"/>
  <c r="X82" i="10"/>
  <c r="W82" i="10"/>
  <c r="V82" i="10"/>
  <c r="U82" i="10"/>
  <c r="T82" i="10"/>
  <c r="S82" i="10"/>
  <c r="R82" i="10"/>
  <c r="Q82" i="10"/>
  <c r="P82" i="10"/>
  <c r="O82" i="10"/>
  <c r="N82" i="10"/>
  <c r="M82" i="10"/>
  <c r="L82" i="10"/>
  <c r="K82" i="10"/>
  <c r="J82" i="10"/>
  <c r="I82" i="10"/>
  <c r="H82" i="10"/>
  <c r="G82" i="10"/>
  <c r="F82" i="10"/>
  <c r="E82" i="10"/>
  <c r="D82" i="10"/>
  <c r="C82" i="10"/>
  <c r="AB81" i="10"/>
  <c r="AA81" i="10"/>
  <c r="Z81" i="10"/>
  <c r="Y81" i="10"/>
  <c r="X81" i="10"/>
  <c r="W81" i="10"/>
  <c r="V81" i="10"/>
  <c r="U81" i="10"/>
  <c r="T81" i="10"/>
  <c r="S81" i="10"/>
  <c r="R81" i="10"/>
  <c r="Q81" i="10"/>
  <c r="P81" i="10"/>
  <c r="O81" i="10"/>
  <c r="N81" i="10"/>
  <c r="M81" i="10"/>
  <c r="L81" i="10"/>
  <c r="K81" i="10"/>
  <c r="J81" i="10"/>
  <c r="I81" i="10"/>
  <c r="H81" i="10"/>
  <c r="G81" i="10"/>
  <c r="F81" i="10"/>
  <c r="E81" i="10"/>
  <c r="D81" i="10"/>
  <c r="C81" i="10"/>
  <c r="AB80" i="10"/>
  <c r="AA80" i="10"/>
  <c r="Z80" i="10"/>
  <c r="Y80" i="10"/>
  <c r="X80" i="10"/>
  <c r="W80" i="10"/>
  <c r="V80" i="10"/>
  <c r="U80" i="10"/>
  <c r="T80" i="10"/>
  <c r="S80" i="10"/>
  <c r="R80" i="10"/>
  <c r="Q80" i="10"/>
  <c r="P80" i="10"/>
  <c r="O80" i="10"/>
  <c r="N80" i="10"/>
  <c r="M80" i="10"/>
  <c r="L80" i="10"/>
  <c r="K80" i="10"/>
  <c r="J80" i="10"/>
  <c r="I80" i="10"/>
  <c r="H80" i="10"/>
  <c r="G80" i="10"/>
  <c r="F80" i="10"/>
  <c r="E80" i="10"/>
  <c r="D80" i="10"/>
  <c r="C80" i="10"/>
  <c r="AB79" i="10"/>
  <c r="AA79" i="10"/>
  <c r="Z79" i="10"/>
  <c r="Y79" i="10"/>
  <c r="X79" i="10"/>
  <c r="W79" i="10"/>
  <c r="V79" i="10"/>
  <c r="U79" i="10"/>
  <c r="T79" i="10"/>
  <c r="S79" i="10"/>
  <c r="R79" i="10"/>
  <c r="Q79" i="10"/>
  <c r="P79" i="10"/>
  <c r="O79" i="10"/>
  <c r="N79" i="10"/>
  <c r="M79" i="10"/>
  <c r="L79" i="10"/>
  <c r="K79" i="10"/>
  <c r="J79" i="10"/>
  <c r="I79" i="10"/>
  <c r="H79" i="10"/>
  <c r="G79" i="10"/>
  <c r="F79" i="10"/>
  <c r="E79" i="10"/>
  <c r="D79" i="10"/>
  <c r="C79" i="10"/>
  <c r="AB78" i="10"/>
  <c r="AA78" i="10"/>
  <c r="Z78" i="10"/>
  <c r="Y78" i="10"/>
  <c r="X78" i="10"/>
  <c r="W78" i="10"/>
  <c r="V78" i="10"/>
  <c r="U78" i="10"/>
  <c r="T78" i="10"/>
  <c r="S78" i="10"/>
  <c r="R78" i="10"/>
  <c r="Q78" i="10"/>
  <c r="P78" i="10"/>
  <c r="O78" i="10"/>
  <c r="N78" i="10"/>
  <c r="M78" i="10"/>
  <c r="L78" i="10"/>
  <c r="K78" i="10"/>
  <c r="J78" i="10"/>
  <c r="I78" i="10"/>
  <c r="H78" i="10"/>
  <c r="G78" i="10"/>
  <c r="F78" i="10"/>
  <c r="E78" i="10"/>
  <c r="D78" i="10"/>
  <c r="C78" i="10"/>
  <c r="AB77" i="10"/>
  <c r="AA77" i="10"/>
  <c r="Z77" i="10"/>
  <c r="Y77" i="10"/>
  <c r="X77" i="10"/>
  <c r="W77" i="10"/>
  <c r="V77" i="10"/>
  <c r="U77" i="10"/>
  <c r="T77" i="10"/>
  <c r="S77" i="10"/>
  <c r="R77" i="10"/>
  <c r="Q77" i="10"/>
  <c r="P77" i="10"/>
  <c r="O77" i="10"/>
  <c r="N77" i="10"/>
  <c r="M77" i="10"/>
  <c r="L77" i="10"/>
  <c r="K77" i="10"/>
  <c r="J77" i="10"/>
  <c r="I77" i="10"/>
  <c r="H77" i="10"/>
  <c r="G77" i="10"/>
  <c r="F77" i="10"/>
  <c r="E77" i="10"/>
  <c r="D77" i="10"/>
  <c r="C77" i="10"/>
  <c r="AB76" i="10"/>
  <c r="AA76" i="10"/>
  <c r="Z76" i="10"/>
  <c r="Y76" i="10"/>
  <c r="X76" i="10"/>
  <c r="W76" i="10"/>
  <c r="V76" i="10"/>
  <c r="U76" i="10"/>
  <c r="T76" i="10"/>
  <c r="S76" i="10"/>
  <c r="R76" i="10"/>
  <c r="Q76" i="10"/>
  <c r="P76" i="10"/>
  <c r="O76" i="10"/>
  <c r="N76" i="10"/>
  <c r="M76" i="10"/>
  <c r="L76" i="10"/>
  <c r="K76" i="10"/>
  <c r="J76" i="10"/>
  <c r="I76" i="10"/>
  <c r="H76" i="10"/>
  <c r="G76" i="10"/>
  <c r="F76" i="10"/>
  <c r="E76" i="10"/>
  <c r="D76" i="10"/>
  <c r="C76" i="10"/>
  <c r="AB75" i="10"/>
  <c r="AA75" i="10"/>
  <c r="Z75" i="10"/>
  <c r="Y75" i="10"/>
  <c r="X75" i="10"/>
  <c r="W75" i="10"/>
  <c r="V75" i="10"/>
  <c r="U75" i="10"/>
  <c r="T75" i="10"/>
  <c r="S75" i="10"/>
  <c r="R75" i="10"/>
  <c r="Q75" i="10"/>
  <c r="P75" i="10"/>
  <c r="O75" i="10"/>
  <c r="N75" i="10"/>
  <c r="M75" i="10"/>
  <c r="L75" i="10"/>
  <c r="K75" i="10"/>
  <c r="J75" i="10"/>
  <c r="I75" i="10"/>
  <c r="H75" i="10"/>
  <c r="G75" i="10"/>
  <c r="F75" i="10"/>
  <c r="E75" i="10"/>
  <c r="D75" i="10"/>
  <c r="C75" i="10"/>
  <c r="AB74" i="10"/>
  <c r="AA74" i="10"/>
  <c r="Z74" i="10"/>
  <c r="Y74" i="10"/>
  <c r="X74" i="10"/>
  <c r="W74" i="10"/>
  <c r="V74" i="10"/>
  <c r="U74" i="10"/>
  <c r="T74" i="10"/>
  <c r="S74" i="10"/>
  <c r="R74" i="10"/>
  <c r="Q74" i="10"/>
  <c r="P74" i="10"/>
  <c r="O74" i="10"/>
  <c r="N74" i="10"/>
  <c r="M74" i="10"/>
  <c r="L74" i="10"/>
  <c r="K74" i="10"/>
  <c r="J74" i="10"/>
  <c r="I74" i="10"/>
  <c r="H74" i="10"/>
  <c r="G74" i="10"/>
  <c r="F74" i="10"/>
  <c r="E74" i="10"/>
  <c r="D74" i="10"/>
  <c r="C74" i="10"/>
  <c r="AB73" i="10"/>
  <c r="AA73" i="10"/>
  <c r="Z73" i="10"/>
  <c r="Y73" i="10"/>
  <c r="X73" i="10"/>
  <c r="W73" i="10"/>
  <c r="V73" i="10"/>
  <c r="U73" i="10"/>
  <c r="T73" i="10"/>
  <c r="S73" i="10"/>
  <c r="R73" i="10"/>
  <c r="Q73" i="10"/>
  <c r="P73" i="10"/>
  <c r="O73" i="10"/>
  <c r="N73" i="10"/>
  <c r="M73" i="10"/>
  <c r="L73" i="10"/>
  <c r="K73" i="10"/>
  <c r="J73" i="10"/>
  <c r="I73" i="10"/>
  <c r="H73" i="10"/>
  <c r="G73" i="10"/>
  <c r="F73" i="10"/>
  <c r="E73" i="10"/>
  <c r="D73" i="10"/>
  <c r="C73" i="10"/>
  <c r="AB72" i="10"/>
  <c r="AA72" i="10"/>
  <c r="Z72" i="10"/>
  <c r="Y72" i="10"/>
  <c r="X72" i="10"/>
  <c r="W72" i="10"/>
  <c r="V72" i="10"/>
  <c r="U72" i="10"/>
  <c r="T72" i="10"/>
  <c r="S72" i="10"/>
  <c r="R72" i="10"/>
  <c r="Q72" i="10"/>
  <c r="P72" i="10"/>
  <c r="O72" i="10"/>
  <c r="N72" i="10"/>
  <c r="M72" i="10"/>
  <c r="L72" i="10"/>
  <c r="K72" i="10"/>
  <c r="J72" i="10"/>
  <c r="I72" i="10"/>
  <c r="H72" i="10"/>
  <c r="G72" i="10"/>
  <c r="F72" i="10"/>
  <c r="E72" i="10"/>
  <c r="D72" i="10"/>
  <c r="C72" i="10"/>
  <c r="AB71" i="10"/>
  <c r="AA71" i="10"/>
  <c r="Z71" i="10"/>
  <c r="Y71" i="10"/>
  <c r="X71" i="10"/>
  <c r="W71" i="10"/>
  <c r="V71" i="10"/>
  <c r="U71" i="10"/>
  <c r="T71" i="10"/>
  <c r="S71" i="10"/>
  <c r="R71" i="10"/>
  <c r="Q71" i="10"/>
  <c r="P71" i="10"/>
  <c r="O71" i="10"/>
  <c r="N71" i="10"/>
  <c r="M71" i="10"/>
  <c r="L71" i="10"/>
  <c r="K71" i="10"/>
  <c r="J71" i="10"/>
  <c r="I71" i="10"/>
  <c r="H71" i="10"/>
  <c r="G71" i="10"/>
  <c r="F71" i="10"/>
  <c r="E71" i="10"/>
  <c r="D71" i="10"/>
  <c r="C71" i="10"/>
  <c r="AB70" i="10"/>
  <c r="AA70" i="10"/>
  <c r="Z70" i="10"/>
  <c r="Y70" i="10"/>
  <c r="X70" i="10"/>
  <c r="W70" i="10"/>
  <c r="V70" i="10"/>
  <c r="U70" i="10"/>
  <c r="T70" i="10"/>
  <c r="S70" i="10"/>
  <c r="R70" i="10"/>
  <c r="Q70" i="10"/>
  <c r="P70" i="10"/>
  <c r="O70" i="10"/>
  <c r="N70" i="10"/>
  <c r="M70" i="10"/>
  <c r="L70" i="10"/>
  <c r="K70" i="10"/>
  <c r="J70" i="10"/>
  <c r="I70" i="10"/>
  <c r="H70" i="10"/>
  <c r="G70" i="10"/>
  <c r="F70" i="10"/>
  <c r="E70" i="10"/>
  <c r="D70" i="10"/>
  <c r="C70" i="10"/>
  <c r="AB69" i="10"/>
  <c r="AA69" i="10"/>
  <c r="Z69" i="10"/>
  <c r="Y69" i="10"/>
  <c r="X69" i="10"/>
  <c r="W69" i="10"/>
  <c r="V69" i="10"/>
  <c r="U69" i="10"/>
  <c r="T69" i="10"/>
  <c r="S69" i="10"/>
  <c r="R69" i="10"/>
  <c r="Q69" i="10"/>
  <c r="P69" i="10"/>
  <c r="O69" i="10"/>
  <c r="N69" i="10"/>
  <c r="M69" i="10"/>
  <c r="L69" i="10"/>
  <c r="K69" i="10"/>
  <c r="J69" i="10"/>
  <c r="I69" i="10"/>
  <c r="H69" i="10"/>
  <c r="G69" i="10"/>
  <c r="F69" i="10"/>
  <c r="E69" i="10"/>
  <c r="D69" i="10"/>
  <c r="C69" i="10"/>
  <c r="AB68" i="10"/>
  <c r="AA68" i="10"/>
  <c r="Z68" i="10"/>
  <c r="Y68" i="10"/>
  <c r="X68" i="10"/>
  <c r="W68" i="10"/>
  <c r="V68" i="10"/>
  <c r="U68" i="10"/>
  <c r="T68" i="10"/>
  <c r="S68" i="10"/>
  <c r="R68" i="10"/>
  <c r="Q68" i="10"/>
  <c r="P68" i="10"/>
  <c r="O68" i="10"/>
  <c r="N68" i="10"/>
  <c r="M68" i="10"/>
  <c r="L68" i="10"/>
  <c r="K68" i="10"/>
  <c r="J68" i="10"/>
  <c r="I68" i="10"/>
  <c r="H68" i="10"/>
  <c r="G68" i="10"/>
  <c r="F68" i="10"/>
  <c r="E68" i="10"/>
  <c r="D68" i="10"/>
  <c r="C68" i="10"/>
  <c r="AB67" i="10"/>
  <c r="AA67" i="10"/>
  <c r="Z67" i="10"/>
  <c r="Y67" i="10"/>
  <c r="X67" i="10"/>
  <c r="W67" i="10"/>
  <c r="V67" i="10"/>
  <c r="U67" i="10"/>
  <c r="T67" i="10"/>
  <c r="S67" i="10"/>
  <c r="R67" i="10"/>
  <c r="Q67" i="10"/>
  <c r="P67" i="10"/>
  <c r="O67" i="10"/>
  <c r="N67" i="10"/>
  <c r="M67" i="10"/>
  <c r="L67" i="10"/>
  <c r="K67" i="10"/>
  <c r="J67" i="10"/>
  <c r="I67" i="10"/>
  <c r="H67" i="10"/>
  <c r="G67" i="10"/>
  <c r="F67" i="10"/>
  <c r="E67" i="10"/>
  <c r="D67" i="10"/>
  <c r="C67" i="10"/>
  <c r="AB66" i="10"/>
  <c r="AA66" i="10"/>
  <c r="Z66" i="10"/>
  <c r="Y66" i="10"/>
  <c r="X66" i="10"/>
  <c r="W66" i="10"/>
  <c r="V66" i="10"/>
  <c r="U66" i="10"/>
  <c r="T66" i="10"/>
  <c r="S66" i="10"/>
  <c r="R66" i="10"/>
  <c r="Q66" i="10"/>
  <c r="P66" i="10"/>
  <c r="O66" i="10"/>
  <c r="N66" i="10"/>
  <c r="M66" i="10"/>
  <c r="L66" i="10"/>
  <c r="K66" i="10"/>
  <c r="J66" i="10"/>
  <c r="I66" i="10"/>
  <c r="H66" i="10"/>
  <c r="G66" i="10"/>
  <c r="F66" i="10"/>
  <c r="E66" i="10"/>
  <c r="D66" i="10"/>
  <c r="C66" i="10"/>
  <c r="AB65" i="10"/>
  <c r="AA65" i="10"/>
  <c r="Z65" i="10"/>
  <c r="Y65" i="10"/>
  <c r="X65" i="10"/>
  <c r="W65" i="10"/>
  <c r="V65" i="10"/>
  <c r="U65" i="10"/>
  <c r="T65" i="10"/>
  <c r="S65" i="10"/>
  <c r="R65" i="10"/>
  <c r="Q65" i="10"/>
  <c r="P65" i="10"/>
  <c r="O65" i="10"/>
  <c r="N65" i="10"/>
  <c r="M65" i="10"/>
  <c r="L65" i="10"/>
  <c r="K65" i="10"/>
  <c r="J65" i="10"/>
  <c r="I65" i="10"/>
  <c r="H65" i="10"/>
  <c r="G65" i="10"/>
  <c r="F65" i="10"/>
  <c r="E65" i="10"/>
  <c r="D65" i="10"/>
  <c r="C65" i="10"/>
  <c r="AB64" i="10"/>
  <c r="AA64" i="10"/>
  <c r="Z64" i="10"/>
  <c r="Y64" i="10"/>
  <c r="X64" i="10"/>
  <c r="W64" i="10"/>
  <c r="V64" i="10"/>
  <c r="U64" i="10"/>
  <c r="T64" i="10"/>
  <c r="S64" i="10"/>
  <c r="R64" i="10"/>
  <c r="Q64" i="10"/>
  <c r="P64" i="10"/>
  <c r="O64" i="10"/>
  <c r="N64" i="10"/>
  <c r="M64" i="10"/>
  <c r="L64" i="10"/>
  <c r="K64" i="10"/>
  <c r="J64" i="10"/>
  <c r="I64" i="10"/>
  <c r="H64" i="10"/>
  <c r="G64" i="10"/>
  <c r="F64" i="10"/>
  <c r="E64" i="10"/>
  <c r="D64" i="10"/>
  <c r="C64" i="10"/>
  <c r="AB63" i="10"/>
  <c r="AA63" i="10"/>
  <c r="Z63" i="10"/>
  <c r="Y63" i="10"/>
  <c r="X63" i="10"/>
  <c r="W63" i="10"/>
  <c r="V63" i="10"/>
  <c r="U63" i="10"/>
  <c r="T63" i="10"/>
  <c r="S63" i="10"/>
  <c r="R63" i="10"/>
  <c r="Q63" i="10"/>
  <c r="P63" i="10"/>
  <c r="O63" i="10"/>
  <c r="N63" i="10"/>
  <c r="M63" i="10"/>
  <c r="L63" i="10"/>
  <c r="K63" i="10"/>
  <c r="J63" i="10"/>
  <c r="I63" i="10"/>
  <c r="H63" i="10"/>
  <c r="G63" i="10"/>
  <c r="F63" i="10"/>
  <c r="E63" i="10"/>
  <c r="D63" i="10"/>
  <c r="C63" i="10"/>
  <c r="AB62" i="10"/>
  <c r="AA62" i="10"/>
  <c r="Z62" i="10"/>
  <c r="Y62" i="10"/>
  <c r="X62" i="10"/>
  <c r="W62" i="10"/>
  <c r="V62" i="10"/>
  <c r="U62" i="10"/>
  <c r="T62" i="10"/>
  <c r="S62" i="10"/>
  <c r="R62" i="10"/>
  <c r="Q62" i="10"/>
  <c r="P62" i="10"/>
  <c r="O62" i="10"/>
  <c r="N62" i="10"/>
  <c r="M62" i="10"/>
  <c r="L62" i="10"/>
  <c r="K62" i="10"/>
  <c r="J62" i="10"/>
  <c r="I62" i="10"/>
  <c r="H62" i="10"/>
  <c r="G62" i="10"/>
  <c r="F62" i="10"/>
  <c r="E62" i="10"/>
  <c r="D62" i="10"/>
  <c r="C62" i="10"/>
  <c r="AB61" i="10"/>
  <c r="AA61" i="10"/>
  <c r="Z61" i="10"/>
  <c r="Y61" i="10"/>
  <c r="X61" i="10"/>
  <c r="W61" i="10"/>
  <c r="V61" i="10"/>
  <c r="U61" i="10"/>
  <c r="T61" i="10"/>
  <c r="S61" i="10"/>
  <c r="R61" i="10"/>
  <c r="Q61" i="10"/>
  <c r="P61" i="10"/>
  <c r="O61" i="10"/>
  <c r="N61" i="10"/>
  <c r="M61" i="10"/>
  <c r="L61" i="10"/>
  <c r="K61" i="10"/>
  <c r="J61" i="10"/>
  <c r="I61" i="10"/>
  <c r="H61" i="10"/>
  <c r="G61" i="10"/>
  <c r="F61" i="10"/>
  <c r="E61" i="10"/>
  <c r="D61" i="10"/>
  <c r="C61" i="10"/>
  <c r="AB60" i="10"/>
  <c r="AA60" i="10"/>
  <c r="Z60" i="10"/>
  <c r="Y60" i="10"/>
  <c r="X60" i="10"/>
  <c r="W60" i="10"/>
  <c r="V60" i="10"/>
  <c r="U60" i="10"/>
  <c r="T60" i="10"/>
  <c r="S60" i="10"/>
  <c r="R60" i="10"/>
  <c r="Q60" i="10"/>
  <c r="P60" i="10"/>
  <c r="O60" i="10"/>
  <c r="N60" i="10"/>
  <c r="M60" i="10"/>
  <c r="L60" i="10"/>
  <c r="K60" i="10"/>
  <c r="J60" i="10"/>
  <c r="I60" i="10"/>
  <c r="H60" i="10"/>
  <c r="G60" i="10"/>
  <c r="F60" i="10"/>
  <c r="E60" i="10"/>
  <c r="D60" i="10"/>
  <c r="C60" i="10"/>
  <c r="AB59" i="10"/>
  <c r="AA59" i="10"/>
  <c r="Z59" i="10"/>
  <c r="Y59" i="10"/>
  <c r="X59" i="10"/>
  <c r="W59" i="10"/>
  <c r="V59" i="10"/>
  <c r="U59" i="10"/>
  <c r="T59" i="10"/>
  <c r="S59" i="10"/>
  <c r="R59" i="10"/>
  <c r="Q59" i="10"/>
  <c r="P59" i="10"/>
  <c r="O59" i="10"/>
  <c r="N59" i="10"/>
  <c r="M59" i="10"/>
  <c r="L59" i="10"/>
  <c r="K59" i="10"/>
  <c r="J59" i="10"/>
  <c r="I59" i="10"/>
  <c r="H59" i="10"/>
  <c r="G59" i="10"/>
  <c r="F59" i="10"/>
  <c r="E59" i="10"/>
  <c r="D59" i="10"/>
  <c r="C59" i="10"/>
  <c r="AB58" i="10"/>
  <c r="AA58" i="10"/>
  <c r="Z58" i="10"/>
  <c r="Y58" i="10"/>
  <c r="X58" i="10"/>
  <c r="W58" i="10"/>
  <c r="V58" i="10"/>
  <c r="U58" i="10"/>
  <c r="T58" i="10"/>
  <c r="S58" i="10"/>
  <c r="R58" i="10"/>
  <c r="Q58" i="10"/>
  <c r="P58" i="10"/>
  <c r="O58" i="10"/>
  <c r="N58" i="10"/>
  <c r="M58" i="10"/>
  <c r="L58" i="10"/>
  <c r="K58" i="10"/>
  <c r="J58" i="10"/>
  <c r="I58" i="10"/>
  <c r="H58" i="10"/>
  <c r="G58" i="10"/>
  <c r="F58" i="10"/>
  <c r="E58" i="10"/>
  <c r="D58" i="10"/>
  <c r="C58" i="10"/>
  <c r="AB57" i="10"/>
  <c r="AA57" i="10"/>
  <c r="Z57" i="10"/>
  <c r="Y57" i="10"/>
  <c r="X57" i="10"/>
  <c r="W57" i="10"/>
  <c r="V57" i="10"/>
  <c r="U57" i="10"/>
  <c r="T57" i="10"/>
  <c r="S57" i="10"/>
  <c r="R57" i="10"/>
  <c r="Q57" i="10"/>
  <c r="P57" i="10"/>
  <c r="O57" i="10"/>
  <c r="N57" i="10"/>
  <c r="M57" i="10"/>
  <c r="L57" i="10"/>
  <c r="K57" i="10"/>
  <c r="J57" i="10"/>
  <c r="I57" i="10"/>
  <c r="H57" i="10"/>
  <c r="G57" i="10"/>
  <c r="F57" i="10"/>
  <c r="E57" i="10"/>
  <c r="D57" i="10"/>
  <c r="C57" i="10"/>
  <c r="AB56" i="10"/>
  <c r="AA56" i="10"/>
  <c r="Z56" i="10"/>
  <c r="Y56" i="10"/>
  <c r="X56" i="10"/>
  <c r="W56" i="10"/>
  <c r="V56" i="10"/>
  <c r="U56" i="10"/>
  <c r="T56" i="10"/>
  <c r="S56" i="10"/>
  <c r="R56" i="10"/>
  <c r="Q56" i="10"/>
  <c r="P56" i="10"/>
  <c r="O56" i="10"/>
  <c r="N56" i="10"/>
  <c r="M56" i="10"/>
  <c r="L56" i="10"/>
  <c r="K56" i="10"/>
  <c r="J56" i="10"/>
  <c r="I56" i="10"/>
  <c r="H56" i="10"/>
  <c r="G56" i="10"/>
  <c r="F56" i="10"/>
  <c r="E56" i="10"/>
  <c r="D56" i="10"/>
  <c r="C56" i="10"/>
  <c r="AB55" i="10"/>
  <c r="AA55" i="10"/>
  <c r="Z55" i="10"/>
  <c r="Y55" i="10"/>
  <c r="X55" i="10"/>
  <c r="W55" i="10"/>
  <c r="V55" i="10"/>
  <c r="U55" i="10"/>
  <c r="T55" i="10"/>
  <c r="S55" i="10"/>
  <c r="R55" i="10"/>
  <c r="Q55" i="10"/>
  <c r="P55" i="10"/>
  <c r="O55" i="10"/>
  <c r="N55" i="10"/>
  <c r="M55" i="10"/>
  <c r="L55" i="10"/>
  <c r="K55" i="10"/>
  <c r="J55" i="10"/>
  <c r="I55" i="10"/>
  <c r="H55" i="10"/>
  <c r="G55" i="10"/>
  <c r="F55" i="10"/>
  <c r="E55" i="10"/>
  <c r="D55" i="10"/>
  <c r="C55" i="10"/>
  <c r="AB54" i="10"/>
  <c r="AA54" i="10"/>
  <c r="Z54" i="10"/>
  <c r="Y54" i="10"/>
  <c r="X54" i="10"/>
  <c r="W54" i="10"/>
  <c r="V54" i="10"/>
  <c r="U54" i="10"/>
  <c r="T54" i="10"/>
  <c r="S54" i="10"/>
  <c r="R54" i="10"/>
  <c r="Q54" i="10"/>
  <c r="P54" i="10"/>
  <c r="O54" i="10"/>
  <c r="N54" i="10"/>
  <c r="M54" i="10"/>
  <c r="L54" i="10"/>
  <c r="K54" i="10"/>
  <c r="J54" i="10"/>
  <c r="I54" i="10"/>
  <c r="H54" i="10"/>
  <c r="G54" i="10"/>
  <c r="F54" i="10"/>
  <c r="E54" i="10"/>
  <c r="D54" i="10"/>
  <c r="C54" i="10"/>
  <c r="AB53" i="10"/>
  <c r="AA53" i="10"/>
  <c r="Z53" i="10"/>
  <c r="Y53" i="10"/>
  <c r="X53" i="10"/>
  <c r="W53" i="10"/>
  <c r="V53" i="10"/>
  <c r="U53" i="10"/>
  <c r="T53" i="10"/>
  <c r="S53" i="10"/>
  <c r="R53" i="10"/>
  <c r="Q53" i="10"/>
  <c r="P53" i="10"/>
  <c r="O53" i="10"/>
  <c r="N53" i="10"/>
  <c r="M53" i="10"/>
  <c r="L53" i="10"/>
  <c r="K53" i="10"/>
  <c r="J53" i="10"/>
  <c r="I53" i="10"/>
  <c r="H53" i="10"/>
  <c r="G53" i="10"/>
  <c r="F53" i="10"/>
  <c r="E53" i="10"/>
  <c r="D53" i="10"/>
  <c r="C53" i="10"/>
  <c r="AB52" i="10"/>
  <c r="AA52" i="10"/>
  <c r="Z52" i="10"/>
  <c r="Y52" i="10"/>
  <c r="X52" i="10"/>
  <c r="W52" i="10"/>
  <c r="V52" i="10"/>
  <c r="U52" i="10"/>
  <c r="T52" i="10"/>
  <c r="S52" i="10"/>
  <c r="R52" i="10"/>
  <c r="Q52" i="10"/>
  <c r="P52" i="10"/>
  <c r="O52" i="10"/>
  <c r="N52" i="10"/>
  <c r="M52" i="10"/>
  <c r="L52" i="10"/>
  <c r="K52" i="10"/>
  <c r="J52" i="10"/>
  <c r="I52" i="10"/>
  <c r="H52" i="10"/>
  <c r="G52" i="10"/>
  <c r="F52" i="10"/>
  <c r="E52" i="10"/>
  <c r="D52" i="10"/>
  <c r="C52"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AB49" i="10"/>
  <c r="AA49" i="10"/>
  <c r="Z49" i="10"/>
  <c r="Y49" i="10"/>
  <c r="X49" i="10"/>
  <c r="W49" i="10"/>
  <c r="V49" i="10"/>
  <c r="U49" i="10"/>
  <c r="T49" i="10"/>
  <c r="S49" i="10"/>
  <c r="R49" i="10"/>
  <c r="Q49" i="10"/>
  <c r="P49" i="10"/>
  <c r="O49" i="10"/>
  <c r="N49" i="10"/>
  <c r="M49" i="10"/>
  <c r="L49" i="10"/>
  <c r="K49" i="10"/>
  <c r="J49" i="10"/>
  <c r="I49" i="10"/>
  <c r="H49" i="10"/>
  <c r="G49" i="10"/>
  <c r="F49" i="10"/>
  <c r="E49" i="10"/>
  <c r="D49" i="10"/>
  <c r="C49"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AB46" i="10"/>
  <c r="AA46" i="10"/>
  <c r="Z46" i="10"/>
  <c r="Y46" i="10"/>
  <c r="X46" i="10"/>
  <c r="W46" i="10"/>
  <c r="V46" i="10"/>
  <c r="U46" i="10"/>
  <c r="T46" i="10"/>
  <c r="S46" i="10"/>
  <c r="R46" i="10"/>
  <c r="Q46" i="10"/>
  <c r="P46" i="10"/>
  <c r="O46" i="10"/>
  <c r="N46" i="10"/>
  <c r="M46" i="10"/>
  <c r="L46" i="10"/>
  <c r="K46" i="10"/>
  <c r="J46" i="10"/>
  <c r="I46" i="10"/>
  <c r="H46" i="10"/>
  <c r="G46" i="10"/>
  <c r="F46" i="10"/>
  <c r="E46" i="10"/>
  <c r="D46" i="10"/>
  <c r="C46" i="10"/>
  <c r="AB45" i="10"/>
  <c r="AA45" i="10"/>
  <c r="Z45" i="10"/>
  <c r="Y45" i="10"/>
  <c r="X45" i="10"/>
  <c r="W45" i="10"/>
  <c r="V45" i="10"/>
  <c r="U45" i="10"/>
  <c r="T45" i="10"/>
  <c r="S45" i="10"/>
  <c r="R45" i="10"/>
  <c r="Q45" i="10"/>
  <c r="P45" i="10"/>
  <c r="O45" i="10"/>
  <c r="N45" i="10"/>
  <c r="M45" i="10"/>
  <c r="L45" i="10"/>
  <c r="K45" i="10"/>
  <c r="J45" i="10"/>
  <c r="I45" i="10"/>
  <c r="H45" i="10"/>
  <c r="G45" i="10"/>
  <c r="F45" i="10"/>
  <c r="E45" i="10"/>
  <c r="D45" i="10"/>
  <c r="C45" i="10"/>
  <c r="AB44" i="10"/>
  <c r="AA44" i="10"/>
  <c r="Z44" i="10"/>
  <c r="Y44" i="10"/>
  <c r="X44" i="10"/>
  <c r="W44" i="10"/>
  <c r="V44" i="10"/>
  <c r="U44" i="10"/>
  <c r="T44" i="10"/>
  <c r="S44" i="10"/>
  <c r="R44" i="10"/>
  <c r="Q44" i="10"/>
  <c r="P44" i="10"/>
  <c r="O44" i="10"/>
  <c r="N44" i="10"/>
  <c r="M44" i="10"/>
  <c r="L44" i="10"/>
  <c r="K44" i="10"/>
  <c r="J44" i="10"/>
  <c r="I44" i="10"/>
  <c r="H44" i="10"/>
  <c r="G44" i="10"/>
  <c r="F44" i="10"/>
  <c r="E44" i="10"/>
  <c r="D44" i="10"/>
  <c r="C44" i="10"/>
  <c r="AB43"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AB42" i="10"/>
  <c r="AA42" i="10"/>
  <c r="Z42" i="10"/>
  <c r="Y42" i="10"/>
  <c r="X42" i="10"/>
  <c r="W42" i="10"/>
  <c r="V42" i="10"/>
  <c r="U42" i="10"/>
  <c r="T42" i="10"/>
  <c r="S42" i="10"/>
  <c r="R42" i="10"/>
  <c r="Q42" i="10"/>
  <c r="P42" i="10"/>
  <c r="O42" i="10"/>
  <c r="N42" i="10"/>
  <c r="M42" i="10"/>
  <c r="L42" i="10"/>
  <c r="K42" i="10"/>
  <c r="J42" i="10"/>
  <c r="I42" i="10"/>
  <c r="H42" i="10"/>
  <c r="G42" i="10"/>
  <c r="F42" i="10"/>
  <c r="E42" i="10"/>
  <c r="D42" i="10"/>
  <c r="C42"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C41" i="10"/>
  <c r="AB40" i="10"/>
  <c r="AA40" i="10"/>
  <c r="Z40" i="10"/>
  <c r="Y40" i="10"/>
  <c r="X40" i="10"/>
  <c r="W40" i="10"/>
  <c r="V40" i="10"/>
  <c r="U40" i="10"/>
  <c r="T40" i="10"/>
  <c r="S40" i="10"/>
  <c r="R40" i="10"/>
  <c r="Q40" i="10"/>
  <c r="P40" i="10"/>
  <c r="O40" i="10"/>
  <c r="N40" i="10"/>
  <c r="M40" i="10"/>
  <c r="L40" i="10"/>
  <c r="K40" i="10"/>
  <c r="J40" i="10"/>
  <c r="I40" i="10"/>
  <c r="H40" i="10"/>
  <c r="G40" i="10"/>
  <c r="F40" i="10"/>
  <c r="E40" i="10"/>
  <c r="D40" i="10"/>
  <c r="C40"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AB38"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AB37"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AB36" i="10"/>
  <c r="AA36" i="10"/>
  <c r="Z36" i="10"/>
  <c r="Y36" i="10"/>
  <c r="X36" i="10"/>
  <c r="W36" i="10"/>
  <c r="V36" i="10"/>
  <c r="U36" i="10"/>
  <c r="T36" i="10"/>
  <c r="S36" i="10"/>
  <c r="R36" i="10"/>
  <c r="Q36" i="10"/>
  <c r="P36" i="10"/>
  <c r="O36" i="10"/>
  <c r="N36" i="10"/>
  <c r="M36" i="10"/>
  <c r="L36" i="10"/>
  <c r="K36" i="10"/>
  <c r="J36" i="10"/>
  <c r="I36" i="10"/>
  <c r="H36" i="10"/>
  <c r="G36" i="10"/>
  <c r="F36" i="10"/>
  <c r="E36" i="10"/>
  <c r="D36" i="10"/>
  <c r="C36" i="10"/>
  <c r="AD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AD34" i="10"/>
  <c r="AB34" i="10"/>
  <c r="AA34" i="10"/>
  <c r="Z34" i="10"/>
  <c r="Y34" i="10"/>
  <c r="X34" i="10"/>
  <c r="W34" i="10"/>
  <c r="V34" i="10"/>
  <c r="U34" i="10"/>
  <c r="T34" i="10"/>
  <c r="S34" i="10"/>
  <c r="R34" i="10"/>
  <c r="Q34" i="10"/>
  <c r="P34" i="10"/>
  <c r="O34" i="10"/>
  <c r="N34" i="10"/>
  <c r="M34" i="10"/>
  <c r="L34" i="10"/>
  <c r="K34" i="10"/>
  <c r="J34" i="10"/>
  <c r="I34" i="10"/>
  <c r="H34" i="10"/>
  <c r="G34" i="10"/>
  <c r="F34" i="10"/>
  <c r="E34" i="10"/>
  <c r="D34" i="10"/>
  <c r="C34" i="10"/>
  <c r="AB33" i="10"/>
  <c r="AA33" i="10"/>
  <c r="Z33" i="10"/>
  <c r="Y33" i="10"/>
  <c r="X33" i="10"/>
  <c r="W33" i="10"/>
  <c r="V33" i="10"/>
  <c r="U33" i="10"/>
  <c r="T33" i="10"/>
  <c r="S33" i="10"/>
  <c r="R33" i="10"/>
  <c r="Q33" i="10"/>
  <c r="P33" i="10"/>
  <c r="O33" i="10"/>
  <c r="N33" i="10"/>
  <c r="M33" i="10"/>
  <c r="L33" i="10"/>
  <c r="K33" i="10"/>
  <c r="J33" i="10"/>
  <c r="I33" i="10"/>
  <c r="H33" i="10"/>
  <c r="G33" i="10"/>
  <c r="F33" i="10"/>
  <c r="E33" i="10"/>
  <c r="D33" i="10"/>
  <c r="C33" i="10"/>
  <c r="AB32" i="10"/>
  <c r="AA32" i="10"/>
  <c r="Z32" i="10"/>
  <c r="Y32" i="10"/>
  <c r="X32" i="10"/>
  <c r="W32" i="10"/>
  <c r="V32" i="10"/>
  <c r="U32" i="10"/>
  <c r="T32" i="10"/>
  <c r="S32" i="10"/>
  <c r="R32" i="10"/>
  <c r="Q32" i="10"/>
  <c r="P32" i="10"/>
  <c r="O32" i="10"/>
  <c r="N32" i="10"/>
  <c r="M32" i="10"/>
  <c r="L32" i="10"/>
  <c r="K32" i="10"/>
  <c r="J32" i="10"/>
  <c r="I32" i="10"/>
  <c r="H32" i="10"/>
  <c r="G32" i="10"/>
  <c r="F32" i="10"/>
  <c r="E32" i="10"/>
  <c r="D32" i="10"/>
  <c r="C32" i="10"/>
  <c r="AB31" i="10"/>
  <c r="AA31" i="10"/>
  <c r="Z31" i="10"/>
  <c r="Y31" i="10"/>
  <c r="X31" i="10"/>
  <c r="W31" i="10"/>
  <c r="V31" i="10"/>
  <c r="U31" i="10"/>
  <c r="T31" i="10"/>
  <c r="S31" i="10"/>
  <c r="R31" i="10"/>
  <c r="Q31" i="10"/>
  <c r="P31" i="10"/>
  <c r="O31" i="10"/>
  <c r="N31" i="10"/>
  <c r="M31" i="10"/>
  <c r="L31" i="10"/>
  <c r="K31" i="10"/>
  <c r="J31" i="10"/>
  <c r="I31" i="10"/>
  <c r="H31" i="10"/>
  <c r="G31" i="10"/>
  <c r="F31" i="10"/>
  <c r="E31" i="10"/>
  <c r="D31" i="10"/>
  <c r="C31" i="10"/>
  <c r="AB30" i="10"/>
  <c r="AA30" i="10"/>
  <c r="Z30" i="10"/>
  <c r="Y30" i="10"/>
  <c r="X30" i="10"/>
  <c r="W30" i="10"/>
  <c r="V30" i="10"/>
  <c r="U30" i="10"/>
  <c r="T30" i="10"/>
  <c r="S30" i="10"/>
  <c r="R30" i="10"/>
  <c r="Q30" i="10"/>
  <c r="P30" i="10"/>
  <c r="O30" i="10"/>
  <c r="N30" i="10"/>
  <c r="M30" i="10"/>
  <c r="L30" i="10"/>
  <c r="K30" i="10"/>
  <c r="J30" i="10"/>
  <c r="I30" i="10"/>
  <c r="H30" i="10"/>
  <c r="G30" i="10"/>
  <c r="F30" i="10"/>
  <c r="E30" i="10"/>
  <c r="D30" i="10"/>
  <c r="C30" i="10"/>
  <c r="AB29" i="10"/>
  <c r="AA29" i="10"/>
  <c r="Z29" i="10"/>
  <c r="Y29" i="10"/>
  <c r="X29" i="10"/>
  <c r="W29" i="10"/>
  <c r="V29" i="10"/>
  <c r="U29" i="10"/>
  <c r="T29" i="10"/>
  <c r="S29" i="10"/>
  <c r="R29" i="10"/>
  <c r="Q29" i="10"/>
  <c r="P29" i="10"/>
  <c r="O29" i="10"/>
  <c r="N29" i="10"/>
  <c r="M29" i="10"/>
  <c r="L29" i="10"/>
  <c r="K29" i="10"/>
  <c r="J29" i="10"/>
  <c r="I29" i="10"/>
  <c r="H29" i="10"/>
  <c r="G29" i="10"/>
  <c r="F29" i="10"/>
  <c r="E29" i="10"/>
  <c r="D29" i="10"/>
  <c r="C29" i="10"/>
  <c r="AB28" i="10"/>
  <c r="AA28" i="10"/>
  <c r="Z28" i="10"/>
  <c r="Y28" i="10"/>
  <c r="X28" i="10"/>
  <c r="W28" i="10"/>
  <c r="V28" i="10"/>
  <c r="U28" i="10"/>
  <c r="T28" i="10"/>
  <c r="S28" i="10"/>
  <c r="R28" i="10"/>
  <c r="Q28" i="10"/>
  <c r="P28" i="10"/>
  <c r="O28" i="10"/>
  <c r="N28" i="10"/>
  <c r="M28" i="10"/>
  <c r="L28" i="10"/>
  <c r="K28" i="10"/>
  <c r="J28" i="10"/>
  <c r="I28" i="10"/>
  <c r="H28" i="10"/>
  <c r="G28" i="10"/>
  <c r="F28" i="10"/>
  <c r="E28" i="10"/>
  <c r="D28" i="10"/>
  <c r="C28" i="10"/>
  <c r="AB27" i="10"/>
  <c r="AA27" i="10"/>
  <c r="Z27" i="10"/>
  <c r="Y27" i="10"/>
  <c r="X27" i="10"/>
  <c r="W27" i="10"/>
  <c r="V27" i="10"/>
  <c r="U27" i="10"/>
  <c r="T27" i="10"/>
  <c r="S27" i="10"/>
  <c r="R27" i="10"/>
  <c r="Q27" i="10"/>
  <c r="P27" i="10"/>
  <c r="O27" i="10"/>
  <c r="N27" i="10"/>
  <c r="M27" i="10"/>
  <c r="L27" i="10"/>
  <c r="K27" i="10"/>
  <c r="J27" i="10"/>
  <c r="I27" i="10"/>
  <c r="H27" i="10"/>
  <c r="G27" i="10"/>
  <c r="F27" i="10"/>
  <c r="E27" i="10"/>
  <c r="D27" i="10"/>
  <c r="C27"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C25"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AB23" i="10"/>
  <c r="AA23" i="10"/>
  <c r="Z23" i="10"/>
  <c r="Y23" i="10"/>
  <c r="X23" i="10"/>
  <c r="W23" i="10"/>
  <c r="V23" i="10"/>
  <c r="U23" i="10"/>
  <c r="T23" i="10"/>
  <c r="S23" i="10"/>
  <c r="R23" i="10"/>
  <c r="Q23" i="10"/>
  <c r="P23" i="10"/>
  <c r="O23" i="10"/>
  <c r="N23" i="10"/>
  <c r="M23" i="10"/>
  <c r="L23" i="10"/>
  <c r="K23" i="10"/>
  <c r="J23" i="10"/>
  <c r="I23" i="10"/>
  <c r="H23" i="10"/>
  <c r="G23" i="10"/>
  <c r="F23" i="10"/>
  <c r="E23" i="10"/>
  <c r="D23" i="10"/>
  <c r="C23"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AB21" i="10"/>
  <c r="AA21" i="10"/>
  <c r="Z21" i="10"/>
  <c r="Y21" i="10"/>
  <c r="X21" i="10"/>
  <c r="W21" i="10"/>
  <c r="V21" i="10"/>
  <c r="U21" i="10"/>
  <c r="T21" i="10"/>
  <c r="S21" i="10"/>
  <c r="R21" i="10"/>
  <c r="Q21" i="10"/>
  <c r="P21" i="10"/>
  <c r="O21" i="10"/>
  <c r="N21" i="10"/>
  <c r="M21" i="10"/>
  <c r="L21" i="10"/>
  <c r="K21" i="10"/>
  <c r="J21" i="10"/>
  <c r="I21" i="10"/>
  <c r="H21" i="10"/>
  <c r="G21" i="10"/>
  <c r="F21" i="10"/>
  <c r="E21" i="10"/>
  <c r="D21" i="10"/>
  <c r="C21" i="10"/>
  <c r="AB20" i="10"/>
  <c r="AA20" i="10"/>
  <c r="Z20" i="10"/>
  <c r="Y20" i="10"/>
  <c r="X20" i="10"/>
  <c r="W20" i="10"/>
  <c r="V20" i="10"/>
  <c r="U20" i="10"/>
  <c r="T20" i="10"/>
  <c r="S20" i="10"/>
  <c r="R20" i="10"/>
  <c r="Q20" i="10"/>
  <c r="P20" i="10"/>
  <c r="O20" i="10"/>
  <c r="N20" i="10"/>
  <c r="M20" i="10"/>
  <c r="L20" i="10"/>
  <c r="K20" i="10"/>
  <c r="J20" i="10"/>
  <c r="I20" i="10"/>
  <c r="H20" i="10"/>
  <c r="G20" i="10"/>
  <c r="F20" i="10"/>
  <c r="E20" i="10"/>
  <c r="D20" i="10"/>
  <c r="C20"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C18" i="10"/>
  <c r="AB17" i="10"/>
  <c r="AA17" i="10"/>
  <c r="Z17" i="10"/>
  <c r="Y17" i="10"/>
  <c r="X17" i="10"/>
  <c r="W17" i="10"/>
  <c r="V17" i="10"/>
  <c r="U17" i="10"/>
  <c r="T17" i="10"/>
  <c r="S17" i="10"/>
  <c r="R17" i="10"/>
  <c r="Q17" i="10"/>
  <c r="P17" i="10"/>
  <c r="O17" i="10"/>
  <c r="N17" i="10"/>
  <c r="M17" i="10"/>
  <c r="L17" i="10"/>
  <c r="K17" i="10"/>
  <c r="J17" i="10"/>
  <c r="I17" i="10"/>
  <c r="H17" i="10"/>
  <c r="G17" i="10"/>
  <c r="F17" i="10"/>
  <c r="E17" i="10"/>
  <c r="D17" i="10"/>
  <c r="C17"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AB15" i="10"/>
  <c r="AA15" i="10"/>
  <c r="Z15" i="10"/>
  <c r="Y15" i="10"/>
  <c r="X15" i="10"/>
  <c r="W15" i="10"/>
  <c r="V15" i="10"/>
  <c r="U15" i="10"/>
  <c r="T15" i="10"/>
  <c r="S15" i="10"/>
  <c r="R15" i="10"/>
  <c r="Q15" i="10"/>
  <c r="P15" i="10"/>
  <c r="O15" i="10"/>
  <c r="N15" i="10"/>
  <c r="M15" i="10"/>
  <c r="L15" i="10"/>
  <c r="K15" i="10"/>
  <c r="J15" i="10"/>
  <c r="I15" i="10"/>
  <c r="H15" i="10"/>
  <c r="G15" i="10"/>
  <c r="F15" i="10"/>
  <c r="E15" i="10"/>
  <c r="D15" i="10"/>
  <c r="C15" i="10"/>
  <c r="AB14" i="10"/>
  <c r="AA14" i="10"/>
  <c r="Z14" i="10"/>
  <c r="Y14" i="10"/>
  <c r="X14" i="10"/>
  <c r="W14" i="10"/>
  <c r="V14" i="10"/>
  <c r="U14" i="10"/>
  <c r="T14" i="10"/>
  <c r="S14" i="10"/>
  <c r="R14" i="10"/>
  <c r="Q14" i="10"/>
  <c r="P14" i="10"/>
  <c r="O14" i="10"/>
  <c r="N14" i="10"/>
  <c r="M14" i="10"/>
  <c r="L14" i="10"/>
  <c r="K14" i="10"/>
  <c r="J14" i="10"/>
  <c r="I14" i="10"/>
  <c r="H14" i="10"/>
  <c r="G14" i="10"/>
  <c r="F14" i="10"/>
  <c r="E14" i="10"/>
  <c r="D14" i="10"/>
  <c r="C14"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AB11"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AB9" i="10"/>
  <c r="AA9" i="10"/>
  <c r="Z9" i="10"/>
  <c r="Y9" i="10"/>
  <c r="X9" i="10"/>
  <c r="W9" i="10"/>
  <c r="V9" i="10"/>
  <c r="U9" i="10"/>
  <c r="T9" i="10"/>
  <c r="S9" i="10"/>
  <c r="R9" i="10"/>
  <c r="Q9" i="10"/>
  <c r="P9" i="10"/>
  <c r="O9" i="10"/>
  <c r="N9" i="10"/>
  <c r="M9" i="10"/>
  <c r="L9" i="10"/>
  <c r="K9" i="10"/>
  <c r="J9" i="10"/>
  <c r="I9" i="10"/>
  <c r="H9" i="10"/>
  <c r="G9" i="10"/>
  <c r="F9" i="10"/>
  <c r="E9" i="10"/>
  <c r="D9" i="10"/>
  <c r="C9" i="10"/>
  <c r="AB8" i="10"/>
  <c r="AA8" i="10"/>
  <c r="Z8" i="10"/>
  <c r="Y8" i="10"/>
  <c r="X8" i="10"/>
  <c r="W8" i="10"/>
  <c r="V8" i="10"/>
  <c r="U8" i="10"/>
  <c r="T8" i="10"/>
  <c r="S8" i="10"/>
  <c r="R8" i="10"/>
  <c r="Q8" i="10"/>
  <c r="P8" i="10"/>
  <c r="O8" i="10"/>
  <c r="N8" i="10"/>
  <c r="M8" i="10"/>
  <c r="L8" i="10"/>
  <c r="K8" i="10"/>
  <c r="J8" i="10"/>
  <c r="I8" i="10"/>
  <c r="H8" i="10"/>
  <c r="G8" i="10"/>
  <c r="F8" i="10"/>
  <c r="E8" i="10"/>
  <c r="D8" i="10"/>
  <c r="C8" i="10"/>
  <c r="AB7" i="10"/>
  <c r="AA7" i="10"/>
  <c r="Z7" i="10"/>
  <c r="Y7" i="10"/>
  <c r="X7" i="10"/>
  <c r="W7" i="10"/>
  <c r="V7" i="10"/>
  <c r="U7" i="10"/>
  <c r="T7" i="10"/>
  <c r="S7" i="10"/>
  <c r="R7" i="10"/>
  <c r="Q7" i="10"/>
  <c r="P7" i="10"/>
  <c r="O7" i="10"/>
  <c r="N7" i="10"/>
  <c r="M7" i="10"/>
  <c r="L7" i="10"/>
  <c r="K7" i="10"/>
  <c r="J7" i="10"/>
  <c r="I7" i="10"/>
  <c r="H7" i="10"/>
  <c r="G7" i="10"/>
  <c r="F7" i="10"/>
  <c r="E7" i="10"/>
  <c r="D7" i="10"/>
  <c r="C7" i="10"/>
  <c r="AB6" i="10"/>
  <c r="AA6" i="10"/>
  <c r="Z6" i="10"/>
  <c r="Y6" i="10"/>
  <c r="X6" i="10"/>
  <c r="W6" i="10"/>
  <c r="V6" i="10"/>
  <c r="U6" i="10"/>
  <c r="T6" i="10"/>
  <c r="S6" i="10"/>
  <c r="R6" i="10"/>
  <c r="Q6" i="10"/>
  <c r="P6" i="10"/>
  <c r="O6" i="10"/>
  <c r="N6" i="10"/>
  <c r="M6" i="10"/>
  <c r="L6" i="10"/>
  <c r="K6" i="10"/>
  <c r="J6" i="10"/>
  <c r="I6" i="10"/>
  <c r="H6" i="10"/>
  <c r="G6" i="10"/>
  <c r="F6" i="10"/>
  <c r="E6" i="10"/>
  <c r="D6" i="10"/>
  <c r="C6" i="10"/>
  <c r="AJ5" i="10"/>
  <c r="AI5" i="10"/>
  <c r="AB5" i="10"/>
  <c r="AA5" i="10"/>
  <c r="Z5" i="10"/>
  <c r="Y5" i="10"/>
  <c r="X5" i="10"/>
  <c r="W5" i="10"/>
  <c r="V5" i="10"/>
  <c r="U5" i="10"/>
  <c r="T5" i="10"/>
  <c r="S5" i="10"/>
  <c r="R5" i="10"/>
  <c r="Q5" i="10"/>
  <c r="P5" i="10"/>
  <c r="O5" i="10"/>
  <c r="N5" i="10"/>
  <c r="M5" i="10"/>
  <c r="L5" i="10"/>
  <c r="K5" i="10"/>
  <c r="J5" i="10"/>
  <c r="I5" i="10"/>
  <c r="H5" i="10"/>
  <c r="G5" i="10"/>
  <c r="F5" i="10"/>
  <c r="E5" i="10"/>
  <c r="D5" i="10"/>
  <c r="C5" i="10"/>
  <c r="AJ4" i="10"/>
  <c r="AB4" i="10"/>
  <c r="AA4" i="10"/>
  <c r="Z4" i="10"/>
  <c r="Y4" i="10"/>
  <c r="X4" i="10"/>
  <c r="W4" i="10"/>
  <c r="V4" i="10"/>
  <c r="U4" i="10"/>
  <c r="T4" i="10"/>
  <c r="S4" i="10"/>
  <c r="R4" i="10"/>
  <c r="Q4" i="10"/>
  <c r="P4" i="10"/>
  <c r="O4" i="10"/>
  <c r="N4" i="10"/>
  <c r="M4" i="10"/>
  <c r="L4" i="10"/>
  <c r="K4" i="10"/>
  <c r="J4" i="10"/>
  <c r="I4" i="10"/>
  <c r="H4" i="10"/>
  <c r="G4" i="10"/>
  <c r="F4" i="10"/>
  <c r="E4" i="10"/>
  <c r="D4" i="10"/>
  <c r="C4" i="10"/>
  <c r="AB3" i="10"/>
  <c r="AA3" i="10"/>
  <c r="Z3" i="10"/>
  <c r="Y3" i="10"/>
  <c r="X3" i="10"/>
  <c r="W3" i="10"/>
  <c r="V3" i="10"/>
  <c r="U3" i="10"/>
  <c r="T3" i="10"/>
  <c r="S3" i="10"/>
  <c r="R3" i="10"/>
  <c r="Q3" i="10"/>
  <c r="P3" i="10"/>
  <c r="O3" i="10"/>
  <c r="N3" i="10"/>
  <c r="M3" i="10"/>
  <c r="L3" i="10"/>
  <c r="K3" i="10"/>
  <c r="J3" i="10"/>
  <c r="I3" i="10"/>
  <c r="H3" i="10"/>
  <c r="G3" i="10"/>
  <c r="F3" i="10"/>
  <c r="E3" i="10"/>
  <c r="D3" i="10"/>
  <c r="C3" i="10"/>
  <c r="AI2" i="10"/>
  <c r="E12" i="30"/>
  <c r="C12" i="30"/>
  <c r="E11" i="30"/>
  <c r="C11" i="30"/>
  <c r="E10" i="30"/>
  <c r="E9" i="30"/>
  <c r="E8" i="30"/>
  <c r="E7" i="30"/>
  <c r="E6" i="30"/>
  <c r="E5" i="30"/>
  <c r="E4" i="30"/>
  <c r="E12" i="29"/>
  <c r="E10" i="29"/>
  <c r="E8" i="29"/>
  <c r="S7" i="29"/>
  <c r="C14" i="29" s="1"/>
  <c r="E7" i="29"/>
  <c r="C7" i="29"/>
  <c r="E5" i="29"/>
  <c r="B5" i="29"/>
  <c r="B1" i="29"/>
  <c r="B62" i="2"/>
  <c r="H60" i="2"/>
  <c r="I60" i="2" s="1"/>
  <c r="K60" i="2" s="1"/>
  <c r="D60" i="2"/>
  <c r="E60" i="2" s="1"/>
  <c r="G60" i="2" s="1"/>
  <c r="H59" i="2"/>
  <c r="I59" i="2" s="1"/>
  <c r="K59" i="2" s="1"/>
  <c r="D59" i="2"/>
  <c r="E59" i="2" s="1"/>
  <c r="G59" i="2" s="1"/>
  <c r="H58" i="2"/>
  <c r="I58" i="2" s="1"/>
  <c r="K58" i="2" s="1"/>
  <c r="D58" i="2"/>
  <c r="E58" i="2" s="1"/>
  <c r="G58" i="2" s="1"/>
  <c r="H57" i="2"/>
  <c r="I57" i="2" s="1"/>
  <c r="K57" i="2" s="1"/>
  <c r="D57" i="2"/>
  <c r="E57" i="2" s="1"/>
  <c r="G57" i="2" s="1"/>
  <c r="H56" i="2"/>
  <c r="I56" i="2" s="1"/>
  <c r="K56" i="2" s="1"/>
  <c r="D56" i="2"/>
  <c r="E56" i="2" s="1"/>
  <c r="G56" i="2" s="1"/>
  <c r="H55" i="2"/>
  <c r="I55" i="2" s="1"/>
  <c r="K55" i="2" s="1"/>
  <c r="D55" i="2"/>
  <c r="E55" i="2" s="1"/>
  <c r="G55" i="2" s="1"/>
  <c r="H54" i="2"/>
  <c r="I54" i="2" s="1"/>
  <c r="K54" i="2" s="1"/>
  <c r="D54" i="2"/>
  <c r="E54" i="2" s="1"/>
  <c r="G54" i="2" s="1"/>
  <c r="H53" i="2"/>
  <c r="I53" i="2" s="1"/>
  <c r="K53" i="2" s="1"/>
  <c r="D53" i="2"/>
  <c r="E53" i="2" s="1"/>
  <c r="G53" i="2" s="1"/>
  <c r="H52" i="2"/>
  <c r="I52" i="2" s="1"/>
  <c r="K52" i="2" s="1"/>
  <c r="D52" i="2"/>
  <c r="E52" i="2" s="1"/>
  <c r="G52" i="2" s="1"/>
  <c r="H51" i="2"/>
  <c r="I51" i="2" s="1"/>
  <c r="K51" i="2" s="1"/>
  <c r="D51" i="2"/>
  <c r="E51" i="2" s="1"/>
  <c r="G51" i="2" s="1"/>
  <c r="H50" i="2"/>
  <c r="I50" i="2" s="1"/>
  <c r="K50" i="2" s="1"/>
  <c r="D50" i="2"/>
  <c r="E50" i="2" s="1"/>
  <c r="G50" i="2" s="1"/>
  <c r="H49" i="2"/>
  <c r="I49" i="2" s="1"/>
  <c r="K49" i="2" s="1"/>
  <c r="D49" i="2"/>
  <c r="E49" i="2" s="1"/>
  <c r="G49" i="2" s="1"/>
  <c r="H48" i="2"/>
  <c r="I48" i="2" s="1"/>
  <c r="K48" i="2" s="1"/>
  <c r="D48" i="2"/>
  <c r="E48" i="2" s="1"/>
  <c r="G48" i="2" s="1"/>
  <c r="H47" i="2"/>
  <c r="I47" i="2" s="1"/>
  <c r="K47" i="2" s="1"/>
  <c r="D47" i="2"/>
  <c r="E47" i="2" s="1"/>
  <c r="G47" i="2" s="1"/>
  <c r="H46" i="2"/>
  <c r="I46" i="2" s="1"/>
  <c r="K46" i="2" s="1"/>
  <c r="D46" i="2"/>
  <c r="E46" i="2" s="1"/>
  <c r="G46" i="2" s="1"/>
  <c r="H45" i="2"/>
  <c r="I45" i="2" s="1"/>
  <c r="K45" i="2" s="1"/>
  <c r="D45" i="2"/>
  <c r="E45" i="2" s="1"/>
  <c r="G45" i="2" s="1"/>
  <c r="H44" i="2"/>
  <c r="I44" i="2" s="1"/>
  <c r="K44" i="2" s="1"/>
  <c r="D44" i="2"/>
  <c r="E44" i="2" s="1"/>
  <c r="G44" i="2" s="1"/>
  <c r="H43" i="2"/>
  <c r="I43" i="2" s="1"/>
  <c r="K43" i="2" s="1"/>
  <c r="D43" i="2"/>
  <c r="E43" i="2" s="1"/>
  <c r="G43" i="2" s="1"/>
  <c r="H42" i="2"/>
  <c r="I42" i="2" s="1"/>
  <c r="K42" i="2" s="1"/>
  <c r="D42" i="2"/>
  <c r="E42" i="2" s="1"/>
  <c r="G42" i="2" s="1"/>
  <c r="H41" i="2"/>
  <c r="I41" i="2" s="1"/>
  <c r="K41" i="2" s="1"/>
  <c r="D41" i="2"/>
  <c r="E41" i="2" s="1"/>
  <c r="G41" i="2" s="1"/>
  <c r="H40" i="2"/>
  <c r="I40" i="2" s="1"/>
  <c r="K40" i="2" s="1"/>
  <c r="D40" i="2"/>
  <c r="E40" i="2" s="1"/>
  <c r="G40" i="2" s="1"/>
  <c r="H39" i="2"/>
  <c r="I39" i="2" s="1"/>
  <c r="K39" i="2" s="1"/>
  <c r="D39" i="2"/>
  <c r="E39" i="2" s="1"/>
  <c r="G39" i="2" s="1"/>
  <c r="H38" i="2"/>
  <c r="I38" i="2" s="1"/>
  <c r="K38" i="2" s="1"/>
  <c r="D38" i="2"/>
  <c r="E38" i="2" s="1"/>
  <c r="G38" i="2" s="1"/>
  <c r="H37" i="2"/>
  <c r="I37" i="2" s="1"/>
  <c r="K37" i="2" s="1"/>
  <c r="D37" i="2"/>
  <c r="E37" i="2" s="1"/>
  <c r="G37" i="2" s="1"/>
  <c r="H36" i="2"/>
  <c r="I36" i="2" s="1"/>
  <c r="K36" i="2" s="1"/>
  <c r="D36" i="2"/>
  <c r="E36" i="2" s="1"/>
  <c r="G36" i="2" s="1"/>
  <c r="H35" i="2"/>
  <c r="I35" i="2" s="1"/>
  <c r="K35" i="2" s="1"/>
  <c r="D35" i="2"/>
  <c r="E35" i="2" s="1"/>
  <c r="G35" i="2" s="1"/>
  <c r="H34" i="2"/>
  <c r="I34" i="2" s="1"/>
  <c r="K34" i="2" s="1"/>
  <c r="D34" i="2"/>
  <c r="E34" i="2" s="1"/>
  <c r="G34" i="2" s="1"/>
  <c r="H33" i="2"/>
  <c r="I33" i="2" s="1"/>
  <c r="K33" i="2" s="1"/>
  <c r="D33" i="2"/>
  <c r="E33" i="2" s="1"/>
  <c r="G33" i="2" s="1"/>
  <c r="H32" i="2"/>
  <c r="I32" i="2" s="1"/>
  <c r="K32" i="2" s="1"/>
  <c r="D32" i="2"/>
  <c r="E32" i="2" s="1"/>
  <c r="G32" i="2" s="1"/>
  <c r="H31" i="2"/>
  <c r="I31" i="2" s="1"/>
  <c r="K31" i="2" s="1"/>
  <c r="D31" i="2"/>
  <c r="E31" i="2" s="1"/>
  <c r="G31" i="2" s="1"/>
  <c r="H30" i="2"/>
  <c r="I30" i="2" s="1"/>
  <c r="K30" i="2" s="1"/>
  <c r="D30" i="2"/>
  <c r="E30" i="2" s="1"/>
  <c r="G30" i="2" s="1"/>
  <c r="H29" i="2"/>
  <c r="I29" i="2" s="1"/>
  <c r="K29" i="2" s="1"/>
  <c r="D29" i="2"/>
  <c r="E29" i="2" s="1"/>
  <c r="G29" i="2" s="1"/>
  <c r="H28" i="2"/>
  <c r="I28" i="2" s="1"/>
  <c r="K28" i="2" s="1"/>
  <c r="D28" i="2"/>
  <c r="E28" i="2" s="1"/>
  <c r="G28" i="2" s="1"/>
  <c r="H27" i="2"/>
  <c r="I27" i="2" s="1"/>
  <c r="K27" i="2" s="1"/>
  <c r="D27" i="2"/>
  <c r="E27" i="2" s="1"/>
  <c r="G27" i="2" s="1"/>
  <c r="H26" i="2"/>
  <c r="I26" i="2" s="1"/>
  <c r="K26" i="2" s="1"/>
  <c r="D26" i="2"/>
  <c r="E26" i="2" s="1"/>
  <c r="G26" i="2" s="1"/>
  <c r="H25" i="2"/>
  <c r="I25" i="2" s="1"/>
  <c r="K25" i="2" s="1"/>
  <c r="D25" i="2"/>
  <c r="E25" i="2" s="1"/>
  <c r="G25" i="2" s="1"/>
  <c r="H24" i="2"/>
  <c r="I24" i="2" s="1"/>
  <c r="K24" i="2" s="1"/>
  <c r="D24" i="2"/>
  <c r="E24" i="2" s="1"/>
  <c r="G24" i="2" s="1"/>
  <c r="H23" i="2"/>
  <c r="I23" i="2" s="1"/>
  <c r="K23" i="2" s="1"/>
  <c r="D23" i="2"/>
  <c r="E23" i="2" s="1"/>
  <c r="G23" i="2" s="1"/>
  <c r="H22" i="2"/>
  <c r="I22" i="2" s="1"/>
  <c r="K22" i="2" s="1"/>
  <c r="D22" i="2"/>
  <c r="E22" i="2" s="1"/>
  <c r="G22" i="2" s="1"/>
  <c r="H21" i="2"/>
  <c r="I21" i="2" s="1"/>
  <c r="K21" i="2" s="1"/>
  <c r="D21" i="2"/>
  <c r="E21" i="2" s="1"/>
  <c r="G21" i="2" s="1"/>
  <c r="H20" i="2"/>
  <c r="I20" i="2" s="1"/>
  <c r="K20" i="2" s="1"/>
  <c r="D20" i="2"/>
  <c r="E20" i="2" s="1"/>
  <c r="G20" i="2" s="1"/>
  <c r="H19" i="2"/>
  <c r="I19" i="2" s="1"/>
  <c r="K19" i="2" s="1"/>
  <c r="D19" i="2"/>
  <c r="E19" i="2" s="1"/>
  <c r="G19" i="2" s="1"/>
  <c r="H18" i="2"/>
  <c r="I18" i="2" s="1"/>
  <c r="K18" i="2" s="1"/>
  <c r="D18" i="2"/>
  <c r="E18" i="2" s="1"/>
  <c r="G18" i="2" s="1"/>
  <c r="H17" i="2"/>
  <c r="I17" i="2" s="1"/>
  <c r="K17" i="2" s="1"/>
  <c r="D17" i="2"/>
  <c r="E17" i="2" s="1"/>
  <c r="G17" i="2" s="1"/>
  <c r="H16" i="2"/>
  <c r="I16" i="2" s="1"/>
  <c r="K16" i="2" s="1"/>
  <c r="D16" i="2"/>
  <c r="E16" i="2" s="1"/>
  <c r="G16" i="2" s="1"/>
  <c r="H15" i="2"/>
  <c r="I15" i="2" s="1"/>
  <c r="K15" i="2" s="1"/>
  <c r="D15" i="2"/>
  <c r="E15" i="2" s="1"/>
  <c r="G15" i="2" s="1"/>
  <c r="H14" i="2"/>
  <c r="I14" i="2" s="1"/>
  <c r="K14" i="2" s="1"/>
  <c r="D14" i="2"/>
  <c r="E14" i="2" s="1"/>
  <c r="G14" i="2" s="1"/>
  <c r="H13" i="2"/>
  <c r="I13" i="2" s="1"/>
  <c r="K13" i="2" s="1"/>
  <c r="D13" i="2"/>
  <c r="E13" i="2" s="1"/>
  <c r="G13" i="2" s="1"/>
  <c r="H12" i="2"/>
  <c r="I12" i="2" s="1"/>
  <c r="K12" i="2" s="1"/>
  <c r="D12" i="2"/>
  <c r="E12" i="2" s="1"/>
  <c r="G12" i="2" s="1"/>
  <c r="H11" i="2"/>
  <c r="I11" i="2" s="1"/>
  <c r="K11" i="2" s="1"/>
  <c r="D11" i="2"/>
  <c r="E11" i="2" s="1"/>
  <c r="G11" i="2" s="1"/>
  <c r="H10" i="2"/>
  <c r="I10" i="2" s="1"/>
  <c r="K10" i="2" s="1"/>
  <c r="D10" i="2"/>
  <c r="E10" i="2" s="1"/>
  <c r="G10" i="2" s="1"/>
  <c r="H9" i="2"/>
  <c r="I9" i="2" s="1"/>
  <c r="K9" i="2" s="1"/>
  <c r="D9" i="2"/>
  <c r="E9" i="2" s="1"/>
  <c r="G9" i="2" s="1"/>
  <c r="H8" i="2"/>
  <c r="I8" i="2" s="1"/>
  <c r="K8" i="2" s="1"/>
  <c r="D8" i="2"/>
  <c r="E8" i="2" s="1"/>
  <c r="G8" i="2" s="1"/>
  <c r="H7" i="2"/>
  <c r="I7" i="2" s="1"/>
  <c r="K7" i="2" s="1"/>
  <c r="D7" i="2"/>
  <c r="E7" i="2" s="1"/>
  <c r="G7" i="2" s="1"/>
  <c r="H6" i="2"/>
  <c r="I6" i="2" s="1"/>
  <c r="K6" i="2" s="1"/>
  <c r="D6" i="2"/>
  <c r="E6" i="2" s="1"/>
  <c r="G6" i="2" s="1"/>
  <c r="H5" i="2"/>
  <c r="I5" i="2" s="1"/>
  <c r="K5" i="2" s="1"/>
  <c r="D5" i="2"/>
  <c r="E5" i="2" s="1"/>
  <c r="G5" i="2" s="1"/>
  <c r="J4" i="2"/>
  <c r="I4" i="2"/>
  <c r="H4" i="2"/>
  <c r="F4" i="2"/>
  <c r="E4" i="2"/>
  <c r="D4" i="2"/>
  <c r="B4" i="2"/>
  <c r="H3" i="2"/>
  <c r="C3" i="2"/>
  <c r="E2" i="2"/>
  <c r="S1" i="2"/>
  <c r="J4" i="27"/>
  <c r="M4" i="27" s="1"/>
  <c r="P4" i="27" s="1"/>
  <c r="S4" i="27" s="1"/>
  <c r="V4" i="27" s="1"/>
  <c r="E4" i="21"/>
  <c r="G14" i="21" l="1"/>
  <c r="G6" i="21"/>
  <c r="G13" i="21"/>
  <c r="G5" i="21"/>
  <c r="G20" i="21"/>
  <c r="G12" i="21"/>
  <c r="G19" i="21"/>
  <c r="G11" i="21"/>
  <c r="G18" i="21"/>
  <c r="G10" i="21"/>
  <c r="G17" i="21"/>
  <c r="G9" i="21"/>
  <c r="G15" i="21"/>
  <c r="G7" i="21"/>
  <c r="G16" i="21"/>
  <c r="G8" i="21"/>
  <c r="H4" i="21"/>
  <c r="C9" i="29"/>
  <c r="C10" i="29"/>
  <c r="C12" i="29"/>
  <c r="C15" i="29"/>
  <c r="C16" i="29"/>
  <c r="B19" i="29"/>
  <c r="P201" i="10"/>
  <c r="P206" i="10" s="1"/>
  <c r="I201" i="10"/>
  <c r="I206" i="10" s="1"/>
  <c r="D201" i="10"/>
  <c r="D206" i="10" s="1"/>
  <c r="U201" i="10"/>
  <c r="U206" i="10" s="1"/>
  <c r="Y201" i="10"/>
  <c r="Y206" i="10" s="1"/>
  <c r="T201" i="10"/>
  <c r="T206" i="10" s="1"/>
  <c r="K201" i="10"/>
  <c r="K206" i="10" s="1"/>
  <c r="M201" i="10"/>
  <c r="M206" i="10" s="1"/>
  <c r="N201" i="10"/>
  <c r="N206" i="10" s="1"/>
  <c r="AA201" i="10"/>
  <c r="AA206" i="10" s="1"/>
  <c r="O201" i="10"/>
  <c r="O206" i="10" s="1"/>
  <c r="Q201" i="10"/>
  <c r="Q206" i="10" s="1"/>
  <c r="E201" i="10"/>
  <c r="E206" i="10" s="1"/>
  <c r="F201" i="10"/>
  <c r="F206" i="10" s="1"/>
  <c r="V201" i="10"/>
  <c r="V206" i="10" s="1"/>
  <c r="W201" i="10"/>
  <c r="W206" i="10" s="1"/>
  <c r="G201" i="10"/>
  <c r="G206" i="10" s="1"/>
  <c r="R201" i="10"/>
  <c r="R206" i="10" s="1"/>
  <c r="H201" i="10"/>
  <c r="H206" i="10" s="1"/>
  <c r="X201" i="10"/>
  <c r="X206" i="10" s="1"/>
  <c r="C201" i="10"/>
  <c r="C206" i="10" s="1"/>
  <c r="S201" i="10"/>
  <c r="S206" i="10" s="1"/>
  <c r="J201" i="10"/>
  <c r="J206" i="10" s="1"/>
  <c r="Z201" i="10"/>
  <c r="Z206" i="10" s="1"/>
  <c r="L201" i="10"/>
  <c r="L206" i="10" s="1"/>
  <c r="AB201" i="10"/>
  <c r="AB206" i="10" s="1"/>
  <c r="D17" i="21"/>
  <c r="D15" i="21"/>
  <c r="D14" i="21"/>
  <c r="V9" i="36"/>
  <c r="V5" i="36"/>
  <c r="V7" i="36"/>
  <c r="S6" i="36"/>
  <c r="S8" i="36"/>
  <c r="S12" i="36"/>
  <c r="P5" i="36"/>
  <c r="P8" i="36"/>
  <c r="P9" i="36"/>
  <c r="P12" i="36"/>
  <c r="P11" i="36"/>
  <c r="P10" i="36"/>
  <c r="D12" i="21"/>
  <c r="D8" i="21"/>
  <c r="D9" i="21"/>
  <c r="J6" i="2"/>
  <c r="J8" i="2"/>
  <c r="J10" i="2"/>
  <c r="J12" i="2"/>
  <c r="J14" i="2"/>
  <c r="J16" i="2"/>
  <c r="J18" i="2"/>
  <c r="J20" i="2"/>
  <c r="J22" i="2"/>
  <c r="J24" i="2"/>
  <c r="J26" i="2"/>
  <c r="J28" i="2"/>
  <c r="J30" i="2"/>
  <c r="J32" i="2"/>
  <c r="J34" i="2"/>
  <c r="J36" i="2"/>
  <c r="J38" i="2"/>
  <c r="J40" i="2"/>
  <c r="J42" i="2"/>
  <c r="J44" i="2"/>
  <c r="J46" i="2"/>
  <c r="J48" i="2"/>
  <c r="J50" i="2"/>
  <c r="J52" i="2"/>
  <c r="J54" i="2"/>
  <c r="J56" i="2"/>
  <c r="J58" i="2"/>
  <c r="J60" i="2"/>
  <c r="F5" i="2"/>
  <c r="F7" i="2"/>
  <c r="F9" i="2"/>
  <c r="F11" i="2"/>
  <c r="F13" i="2"/>
  <c r="F15" i="2"/>
  <c r="F17" i="2"/>
  <c r="F19" i="2"/>
  <c r="F21" i="2"/>
  <c r="F23" i="2"/>
  <c r="F25" i="2"/>
  <c r="F27" i="2"/>
  <c r="F29" i="2"/>
  <c r="F31" i="2"/>
  <c r="F33" i="2"/>
  <c r="F35" i="2"/>
  <c r="F37" i="2"/>
  <c r="F39" i="2"/>
  <c r="F41" i="2"/>
  <c r="F43" i="2"/>
  <c r="F45" i="2"/>
  <c r="F47" i="2"/>
  <c r="F49" i="2"/>
  <c r="F51" i="2"/>
  <c r="F53" i="2"/>
  <c r="F55" i="2"/>
  <c r="F57" i="2"/>
  <c r="F59" i="2"/>
  <c r="J5" i="2"/>
  <c r="J7" i="2"/>
  <c r="J9" i="2"/>
  <c r="J11" i="2"/>
  <c r="J13" i="2"/>
  <c r="J15" i="2"/>
  <c r="J17" i="2"/>
  <c r="J19" i="2"/>
  <c r="J21" i="2"/>
  <c r="J23" i="2"/>
  <c r="J25" i="2"/>
  <c r="J27" i="2"/>
  <c r="J29" i="2"/>
  <c r="J31" i="2"/>
  <c r="J33" i="2"/>
  <c r="J35" i="2"/>
  <c r="J37" i="2"/>
  <c r="J39" i="2"/>
  <c r="J41" i="2"/>
  <c r="J43" i="2"/>
  <c r="J45" i="2"/>
  <c r="J47" i="2"/>
  <c r="J49" i="2"/>
  <c r="J51" i="2"/>
  <c r="J53" i="2"/>
  <c r="J55" i="2"/>
  <c r="J57" i="2"/>
  <c r="J59" i="2"/>
  <c r="F6" i="2"/>
  <c r="F8" i="2"/>
  <c r="F10" i="2"/>
  <c r="F12" i="2"/>
  <c r="F14" i="2"/>
  <c r="F16" i="2"/>
  <c r="F18" i="2"/>
  <c r="F20" i="2"/>
  <c r="F22" i="2"/>
  <c r="F24" i="2"/>
  <c r="F26" i="2"/>
  <c r="F28" i="2"/>
  <c r="F30" i="2"/>
  <c r="F32" i="2"/>
  <c r="F34" i="2"/>
  <c r="F36" i="2"/>
  <c r="F38" i="2"/>
  <c r="F40" i="2"/>
  <c r="F42" i="2"/>
  <c r="F44" i="2"/>
  <c r="F46" i="2"/>
  <c r="F48" i="2"/>
  <c r="F50" i="2"/>
  <c r="F52" i="2"/>
  <c r="F54" i="2"/>
  <c r="F56" i="2"/>
  <c r="F58" i="2"/>
  <c r="F60" i="2"/>
  <c r="C17" i="29"/>
  <c r="C8" i="29"/>
  <c r="C11" i="29"/>
  <c r="C13" i="29"/>
  <c r="J14" i="21" l="1"/>
  <c r="J6" i="21"/>
  <c r="J13" i="21"/>
  <c r="J5" i="21"/>
  <c r="J20" i="21"/>
  <c r="J12" i="21"/>
  <c r="J19" i="21"/>
  <c r="J11" i="21"/>
  <c r="J18" i="21"/>
  <c r="J10" i="21"/>
  <c r="J17" i="21"/>
  <c r="J9" i="21"/>
  <c r="J15" i="21"/>
  <c r="J7" i="21"/>
  <c r="J16" i="21"/>
  <c r="J8" i="21"/>
  <c r="K4" i="21"/>
  <c r="M14" i="21" l="1"/>
  <c r="M6" i="21"/>
  <c r="M13" i="21"/>
  <c r="M5" i="21"/>
  <c r="M20" i="21"/>
  <c r="M12" i="21"/>
  <c r="M19" i="21"/>
  <c r="M11" i="21"/>
  <c r="M18" i="21"/>
  <c r="M10" i="21"/>
  <c r="M17" i="21"/>
  <c r="M9" i="21"/>
  <c r="M15" i="21"/>
  <c r="M7" i="21"/>
  <c r="M16" i="21"/>
  <c r="M8" i="21"/>
  <c r="N4" i="21"/>
  <c r="P14" i="21" l="1"/>
  <c r="P6" i="21"/>
  <c r="P13" i="21"/>
  <c r="P5" i="21"/>
  <c r="P20" i="21"/>
  <c r="P12" i="21"/>
  <c r="P19" i="21"/>
  <c r="P11" i="21"/>
  <c r="P18" i="21"/>
  <c r="P10" i="21"/>
  <c r="P17" i="21"/>
  <c r="P9" i="21"/>
  <c r="P15" i="21"/>
  <c r="P7" i="21"/>
  <c r="P8" i="21"/>
  <c r="Q4" i="21"/>
  <c r="P16" i="21"/>
  <c r="S14" i="21" l="1"/>
  <c r="S6" i="21"/>
  <c r="S13" i="21"/>
  <c r="S5" i="21"/>
  <c r="S20" i="21"/>
  <c r="S12" i="21"/>
  <c r="S19" i="21"/>
  <c r="S11" i="21"/>
  <c r="S18" i="21"/>
  <c r="S10" i="21"/>
  <c r="S17" i="21"/>
  <c r="S9" i="21"/>
  <c r="S15" i="21"/>
  <c r="S7" i="21"/>
  <c r="S16" i="21"/>
  <c r="S8" i="21"/>
  <c r="T4" i="21"/>
  <c r="V14" i="21" l="1"/>
  <c r="V6" i="21"/>
  <c r="V13" i="21"/>
  <c r="V5" i="21"/>
  <c r="V20" i="21"/>
  <c r="V12" i="21"/>
  <c r="V19" i="21"/>
  <c r="V11" i="21"/>
  <c r="V18" i="21"/>
  <c r="V10" i="21"/>
  <c r="V17" i="21"/>
  <c r="V9" i="21"/>
  <c r="V15" i="21"/>
  <c r="V7" i="21"/>
  <c r="V16" i="21"/>
  <c r="V8" i="21"/>
  <c r="B4" i="22"/>
  <c r="G1" i="21"/>
  <c r="D14" i="22" l="1"/>
  <c r="D6" i="22"/>
  <c r="D13" i="22"/>
  <c r="D5" i="22"/>
  <c r="D15" i="22"/>
  <c r="D7" i="22"/>
  <c r="D19" i="22"/>
  <c r="D8" i="22"/>
  <c r="D18" i="22"/>
  <c r="D17" i="22"/>
  <c r="D16" i="22"/>
  <c r="D12" i="22"/>
  <c r="D11" i="22"/>
  <c r="D10" i="22"/>
  <c r="D9" i="22"/>
  <c r="E4" i="22"/>
  <c r="D20" i="22"/>
  <c r="G14" i="22" l="1"/>
  <c r="G6" i="22"/>
  <c r="G13" i="22"/>
  <c r="G5" i="22"/>
  <c r="G15" i="22"/>
  <c r="G7" i="22"/>
  <c r="G17" i="22"/>
  <c r="G16" i="22"/>
  <c r="G12" i="22"/>
  <c r="G11" i="22"/>
  <c r="G10" i="22"/>
  <c r="G20" i="22"/>
  <c r="G9" i="22"/>
  <c r="G19" i="22"/>
  <c r="G8" i="22"/>
  <c r="H4" i="22"/>
  <c r="G18" i="22"/>
  <c r="J14" i="22" l="1"/>
  <c r="J6" i="22"/>
  <c r="J13" i="22"/>
  <c r="J5" i="22"/>
  <c r="J15" i="22"/>
  <c r="J7" i="22"/>
  <c r="J12" i="22"/>
  <c r="J11" i="22"/>
  <c r="J10" i="22"/>
  <c r="J20" i="22"/>
  <c r="J9" i="22"/>
  <c r="J19" i="22"/>
  <c r="J8" i="22"/>
  <c r="J18" i="22"/>
  <c r="J17" i="22"/>
  <c r="K4" i="22"/>
  <c r="J16" i="22"/>
  <c r="M14" i="22" l="1"/>
  <c r="M6" i="22"/>
  <c r="M13" i="22"/>
  <c r="M5" i="22"/>
  <c r="M15" i="22"/>
  <c r="M7" i="22"/>
  <c r="M10" i="22"/>
  <c r="M20" i="22"/>
  <c r="M9" i="22"/>
  <c r="M19" i="22"/>
  <c r="M8" i="22"/>
  <c r="M18" i="22"/>
  <c r="M17" i="22"/>
  <c r="M16" i="22"/>
  <c r="M12" i="22"/>
  <c r="N4" i="22"/>
  <c r="M11" i="22"/>
  <c r="P14" i="22" l="1"/>
  <c r="P6" i="22"/>
  <c r="P13" i="22"/>
  <c r="P5" i="22"/>
  <c r="P15" i="22"/>
  <c r="P7" i="22"/>
  <c r="P19" i="22"/>
  <c r="P8" i="22"/>
  <c r="P18" i="22"/>
  <c r="P17" i="22"/>
  <c r="P16" i="22"/>
  <c r="P12" i="22"/>
  <c r="P11" i="22"/>
  <c r="P10" i="22"/>
  <c r="P20" i="22"/>
  <c r="Q4" i="22"/>
  <c r="P9" i="22"/>
  <c r="S14" i="22" l="1"/>
  <c r="S6" i="22"/>
  <c r="S13" i="22"/>
  <c r="S5" i="22"/>
  <c r="S15" i="22"/>
  <c r="S7" i="22"/>
  <c r="S17" i="22"/>
  <c r="S16" i="22"/>
  <c r="S12" i="22"/>
  <c r="S11" i="22"/>
  <c r="S10" i="22"/>
  <c r="S20" i="22"/>
  <c r="S9" i="22"/>
  <c r="S19" i="22"/>
  <c r="S8" i="22"/>
  <c r="S18" i="22"/>
  <c r="T4" i="22"/>
  <c r="G1" i="22" l="1"/>
  <c r="V14" i="22"/>
  <c r="V6" i="22"/>
  <c r="V13" i="22"/>
  <c r="V5" i="22"/>
  <c r="V15" i="22"/>
  <c r="V7" i="22"/>
  <c r="V12" i="22"/>
  <c r="V11" i="22"/>
  <c r="V10" i="22"/>
  <c r="V20" i="22"/>
  <c r="V9" i="22"/>
  <c r="V19" i="22"/>
  <c r="V8" i="22"/>
  <c r="V18" i="22"/>
  <c r="V17" i="22"/>
  <c r="B4" i="23"/>
  <c r="V16" i="22"/>
  <c r="D14" i="23" l="1"/>
  <c r="D6" i="23"/>
  <c r="D13" i="23"/>
  <c r="D5" i="23"/>
  <c r="D15" i="23"/>
  <c r="D7" i="23"/>
  <c r="D11" i="23"/>
  <c r="D10" i="23"/>
  <c r="D20" i="23"/>
  <c r="D9" i="23"/>
  <c r="D19" i="23"/>
  <c r="D8" i="23"/>
  <c r="D18" i="23"/>
  <c r="D17" i="23"/>
  <c r="D16" i="23"/>
  <c r="E4" i="23"/>
  <c r="D12" i="23"/>
  <c r="G14" i="23" l="1"/>
  <c r="G6" i="23"/>
  <c r="G13" i="23"/>
  <c r="G5" i="23"/>
  <c r="G15" i="23"/>
  <c r="G7" i="23"/>
  <c r="G19" i="23"/>
  <c r="G8" i="23"/>
  <c r="G18" i="23"/>
  <c r="G17" i="23"/>
  <c r="G16" i="23"/>
  <c r="G12" i="23"/>
  <c r="G11" i="23"/>
  <c r="G10" i="23"/>
  <c r="G20" i="23"/>
  <c r="H4" i="23"/>
  <c r="G9" i="23"/>
  <c r="J14" i="23" l="1"/>
  <c r="J6" i="23"/>
  <c r="J13" i="23"/>
  <c r="J5" i="23"/>
  <c r="J15" i="23"/>
  <c r="J7" i="23"/>
  <c r="J16" i="23"/>
  <c r="J12" i="23"/>
  <c r="J11" i="23"/>
  <c r="J10" i="23"/>
  <c r="J20" i="23"/>
  <c r="J9" i="23"/>
  <c r="J19" i="23"/>
  <c r="J8" i="23"/>
  <c r="J18" i="23"/>
  <c r="J17" i="23"/>
  <c r="K4" i="23"/>
  <c r="M14" i="23" l="1"/>
  <c r="M6" i="23"/>
  <c r="M13" i="23"/>
  <c r="M5" i="23"/>
  <c r="M15" i="23"/>
  <c r="M7" i="23"/>
  <c r="M10" i="23"/>
  <c r="M20" i="23"/>
  <c r="M9" i="23"/>
  <c r="M19" i="23"/>
  <c r="M8" i="23"/>
  <c r="M18" i="23"/>
  <c r="M17" i="23"/>
  <c r="M16" i="23"/>
  <c r="M12" i="23"/>
  <c r="N4" i="23"/>
  <c r="M11" i="23"/>
  <c r="P14" i="23" l="1"/>
  <c r="P6" i="23"/>
  <c r="P13" i="23"/>
  <c r="P5" i="23"/>
  <c r="P15" i="23"/>
  <c r="P7" i="23"/>
  <c r="P18" i="23"/>
  <c r="P17" i="23"/>
  <c r="P16" i="23"/>
  <c r="P12" i="23"/>
  <c r="P11" i="23"/>
  <c r="P10" i="23"/>
  <c r="P20" i="23"/>
  <c r="P9" i="23"/>
  <c r="P19" i="23"/>
  <c r="Q4" i="23"/>
  <c r="P8" i="23"/>
  <c r="S14" i="23" l="1"/>
  <c r="S6" i="23"/>
  <c r="S13" i="23"/>
  <c r="S5" i="23"/>
  <c r="S15" i="23"/>
  <c r="S7" i="23"/>
  <c r="S12" i="23"/>
  <c r="S11" i="23"/>
  <c r="S10" i="23"/>
  <c r="S20" i="23"/>
  <c r="S9" i="23"/>
  <c r="S19" i="23"/>
  <c r="S8" i="23"/>
  <c r="S18" i="23"/>
  <c r="S17" i="23"/>
  <c r="T4" i="23"/>
  <c r="S16" i="23"/>
  <c r="V14" i="23" l="1"/>
  <c r="V6" i="23"/>
  <c r="V13" i="23"/>
  <c r="V5" i="23"/>
  <c r="V15" i="23"/>
  <c r="V7" i="23"/>
  <c r="V10" i="23"/>
  <c r="V20" i="23"/>
  <c r="V9" i="23"/>
  <c r="V19" i="23"/>
  <c r="V8" i="23"/>
  <c r="V18" i="23"/>
  <c r="V17" i="23"/>
  <c r="V16" i="23"/>
  <c r="V12" i="23"/>
  <c r="V11" i="23"/>
  <c r="B4" i="24"/>
  <c r="G1" i="23"/>
  <c r="D14" i="24" l="1"/>
  <c r="D6" i="24"/>
  <c r="D13" i="24"/>
  <c r="D5" i="24"/>
  <c r="D15" i="24"/>
  <c r="D7" i="24"/>
  <c r="D17" i="24"/>
  <c r="D16" i="24"/>
  <c r="D12" i="24"/>
  <c r="D11" i="24"/>
  <c r="D10" i="24"/>
  <c r="D20" i="24"/>
  <c r="D9" i="24"/>
  <c r="D19" i="24"/>
  <c r="D8" i="24"/>
  <c r="D18" i="24"/>
  <c r="E4" i="24"/>
  <c r="G14" i="24" l="1"/>
  <c r="G6" i="24"/>
  <c r="G13" i="24"/>
  <c r="G5" i="24"/>
  <c r="G15" i="24"/>
  <c r="G7" i="24"/>
  <c r="G20" i="24"/>
  <c r="G9" i="24"/>
  <c r="G19" i="24"/>
  <c r="G8" i="24"/>
  <c r="G18" i="24"/>
  <c r="G17" i="24"/>
  <c r="G16" i="24"/>
  <c r="G12" i="24"/>
  <c r="G11" i="24"/>
  <c r="G10" i="24"/>
  <c r="H4" i="24"/>
  <c r="J14" i="24" l="1"/>
  <c r="J6" i="24"/>
  <c r="J13" i="24"/>
  <c r="J5" i="24"/>
  <c r="J15" i="24"/>
  <c r="J7" i="24"/>
  <c r="J12" i="24"/>
  <c r="J11" i="24"/>
  <c r="J10" i="24"/>
  <c r="J20" i="24"/>
  <c r="J9" i="24"/>
  <c r="J19" i="24"/>
  <c r="J8" i="24"/>
  <c r="J18" i="24"/>
  <c r="J17" i="24"/>
  <c r="J16" i="24"/>
  <c r="K4" i="24"/>
  <c r="M14" i="24" l="1"/>
  <c r="M6" i="24"/>
  <c r="M13" i="24"/>
  <c r="M5" i="24"/>
  <c r="M15" i="24"/>
  <c r="M7" i="24"/>
  <c r="M18" i="24"/>
  <c r="M17" i="24"/>
  <c r="M16" i="24"/>
  <c r="M12" i="24"/>
  <c r="M11" i="24"/>
  <c r="M10" i="24"/>
  <c r="M20" i="24"/>
  <c r="M9" i="24"/>
  <c r="M19" i="24"/>
  <c r="N4" i="24"/>
  <c r="M8" i="24"/>
  <c r="P9" i="24" l="1"/>
  <c r="P10" i="24"/>
  <c r="P11" i="24"/>
  <c r="P12" i="24"/>
  <c r="P13" i="24"/>
  <c r="P14" i="24"/>
  <c r="P15" i="24"/>
  <c r="P16" i="24"/>
  <c r="P17" i="24"/>
  <c r="P18" i="24"/>
  <c r="P19" i="24"/>
  <c r="P20" i="24"/>
  <c r="P6" i="24"/>
  <c r="P7" i="24"/>
  <c r="P8" i="24"/>
  <c r="Q4" i="24"/>
  <c r="P5" i="24"/>
  <c r="S18" i="24" l="1"/>
  <c r="S10" i="24"/>
  <c r="S17" i="24"/>
  <c r="S9" i="24"/>
  <c r="S16" i="24"/>
  <c r="S8" i="24"/>
  <c r="S15" i="24"/>
  <c r="S7" i="24"/>
  <c r="S14" i="24"/>
  <c r="S6" i="24"/>
  <c r="S13" i="24"/>
  <c r="S5" i="24"/>
  <c r="S20" i="24"/>
  <c r="S12" i="24"/>
  <c r="S19" i="24"/>
  <c r="S11" i="24"/>
  <c r="T4" i="24"/>
  <c r="V14" i="24" l="1"/>
  <c r="V13" i="24"/>
  <c r="V15" i="24"/>
  <c r="V10" i="24"/>
  <c r="V20" i="24"/>
  <c r="V9" i="24"/>
  <c r="V19" i="24"/>
  <c r="V8" i="24"/>
  <c r="V18" i="24"/>
  <c r="V7" i="24"/>
  <c r="V17" i="24"/>
  <c r="V6" i="24"/>
  <c r="V16" i="24"/>
  <c r="V5" i="24"/>
  <c r="V12" i="24"/>
  <c r="V11" i="24"/>
  <c r="B4" i="25"/>
  <c r="G1" i="24"/>
  <c r="D14" i="25" l="1"/>
  <c r="D6" i="25"/>
  <c r="D13" i="25"/>
  <c r="D5" i="25"/>
  <c r="D20" i="25"/>
  <c r="D12" i="25"/>
  <c r="D19" i="25"/>
  <c r="D11" i="25"/>
  <c r="D18" i="25"/>
  <c r="D10" i="25"/>
  <c r="D17" i="25"/>
  <c r="D9" i="25"/>
  <c r="D15" i="25"/>
  <c r="D7" i="25"/>
  <c r="D16" i="25"/>
  <c r="D8" i="25"/>
  <c r="E4" i="25"/>
  <c r="G16" i="25" l="1"/>
  <c r="G14" i="25"/>
  <c r="G6" i="25"/>
  <c r="G13" i="25"/>
  <c r="G5" i="25"/>
  <c r="G12" i="25"/>
  <c r="G20" i="25"/>
  <c r="G11" i="25"/>
  <c r="G19" i="25"/>
  <c r="G10" i="25"/>
  <c r="G18" i="25"/>
  <c r="G9" i="25"/>
  <c r="G7" i="25"/>
  <c r="G17" i="25"/>
  <c r="G8" i="25"/>
  <c r="H4" i="25"/>
  <c r="G15" i="25"/>
  <c r="J16" i="25" l="1"/>
  <c r="J7" i="25"/>
  <c r="J15" i="25"/>
  <c r="J6" i="25"/>
  <c r="J5" i="25"/>
  <c r="J12" i="25"/>
  <c r="J20" i="25"/>
  <c r="J11" i="25"/>
  <c r="J19" i="25"/>
  <c r="J10" i="25"/>
  <c r="J17" i="25"/>
  <c r="J8" i="25"/>
  <c r="J18" i="25"/>
  <c r="J9" i="25"/>
  <c r="K4" i="25"/>
  <c r="J13" i="25"/>
  <c r="J14" i="25"/>
  <c r="M17" i="25" l="1"/>
  <c r="M8" i="25"/>
  <c r="M16" i="25"/>
  <c r="M7" i="25"/>
  <c r="M6" i="25"/>
  <c r="M13" i="25"/>
  <c r="M5" i="25"/>
  <c r="M12" i="25"/>
  <c r="M20" i="25"/>
  <c r="M11" i="25"/>
  <c r="M18" i="25"/>
  <c r="M9" i="25"/>
  <c r="M19" i="25"/>
  <c r="M10" i="25"/>
  <c r="N4" i="25"/>
  <c r="M14" i="25"/>
  <c r="M15" i="25"/>
  <c r="P17" i="25" l="1"/>
  <c r="P9" i="25"/>
  <c r="P16" i="25"/>
  <c r="P8" i="25"/>
  <c r="P15" i="25"/>
  <c r="P7" i="25"/>
  <c r="P14" i="25"/>
  <c r="P6" i="25"/>
  <c r="P13" i="25"/>
  <c r="P5" i="25"/>
  <c r="P20" i="25"/>
  <c r="P12" i="25"/>
  <c r="P18" i="25"/>
  <c r="P10" i="25"/>
  <c r="P19" i="25"/>
  <c r="P11" i="25"/>
  <c r="Q4" i="25"/>
  <c r="S17" i="25" l="1"/>
  <c r="S9" i="25"/>
  <c r="S16" i="25"/>
  <c r="S8" i="25"/>
  <c r="S15" i="25"/>
  <c r="S7" i="25"/>
  <c r="S14" i="25"/>
  <c r="S6" i="25"/>
  <c r="S13" i="25"/>
  <c r="S5" i="25"/>
  <c r="S20" i="25"/>
  <c r="S12" i="25"/>
  <c r="S18" i="25"/>
  <c r="S10" i="25"/>
  <c r="S11" i="25"/>
  <c r="T4" i="25"/>
  <c r="S19" i="25"/>
  <c r="V18" i="25" l="1"/>
  <c r="V9" i="25"/>
  <c r="V17" i="25"/>
  <c r="V8" i="25"/>
  <c r="V16" i="25"/>
  <c r="V7" i="25"/>
  <c r="V6" i="25"/>
  <c r="V13" i="25"/>
  <c r="V5" i="25"/>
  <c r="V12" i="25"/>
  <c r="V19" i="25"/>
  <c r="V10" i="25"/>
  <c r="V20" i="25"/>
  <c r="V11" i="25"/>
  <c r="B4" i="26"/>
  <c r="V14" i="25"/>
  <c r="V15" i="25"/>
  <c r="G1" i="25"/>
  <c r="D10" i="26" l="1"/>
  <c r="D19" i="26"/>
  <c r="D9" i="26"/>
  <c r="D18" i="26"/>
  <c r="D8" i="26"/>
  <c r="D17" i="26"/>
  <c r="D7" i="26"/>
  <c r="D6" i="26"/>
  <c r="D13" i="26"/>
  <c r="D5" i="26"/>
  <c r="D11" i="26"/>
  <c r="D20" i="26"/>
  <c r="D12" i="26"/>
  <c r="E4" i="26"/>
  <c r="D14" i="26"/>
  <c r="D15" i="26"/>
  <c r="D16" i="26"/>
  <c r="G20" i="26" l="1"/>
  <c r="G11" i="26"/>
  <c r="G19" i="26"/>
  <c r="G10" i="26"/>
  <c r="G18" i="26"/>
  <c r="G9" i="26"/>
  <c r="G17" i="26"/>
  <c r="G8" i="26"/>
  <c r="G16" i="26"/>
  <c r="G7" i="26"/>
  <c r="G14" i="26"/>
  <c r="G6" i="26"/>
  <c r="G13" i="26"/>
  <c r="G5" i="26"/>
  <c r="G12" i="26"/>
  <c r="H4" i="26"/>
  <c r="G15" i="26"/>
  <c r="J14" i="26" l="1"/>
  <c r="J12" i="26"/>
  <c r="J20" i="26"/>
  <c r="J11" i="26"/>
  <c r="J19" i="26"/>
  <c r="J10" i="26"/>
  <c r="J18" i="26"/>
  <c r="J17" i="26"/>
  <c r="J8" i="26"/>
  <c r="J16" i="26"/>
  <c r="J7" i="26"/>
  <c r="J5" i="26"/>
  <c r="J13" i="26"/>
  <c r="J15" i="26"/>
  <c r="J6" i="26"/>
  <c r="K4" i="26"/>
  <c r="J9" i="26"/>
  <c r="M5" i="26" l="1"/>
  <c r="M14" i="26"/>
  <c r="M12" i="26"/>
  <c r="M20" i="26"/>
  <c r="M11" i="26"/>
  <c r="M19" i="26"/>
  <c r="M10" i="26"/>
  <c r="M18" i="26"/>
  <c r="M9" i="26"/>
  <c r="M17" i="26"/>
  <c r="M16" i="26"/>
  <c r="M6" i="26"/>
  <c r="M15" i="26"/>
  <c r="N4" i="26"/>
  <c r="M13" i="26"/>
  <c r="M8" i="26"/>
  <c r="M7" i="26"/>
  <c r="P15" i="26" l="1"/>
  <c r="P6" i="26"/>
  <c r="P14" i="26"/>
  <c r="P5" i="26"/>
  <c r="P13" i="26"/>
  <c r="P20" i="26"/>
  <c r="P12" i="26"/>
  <c r="P19" i="26"/>
  <c r="P11" i="26"/>
  <c r="P18" i="26"/>
  <c r="P10" i="26"/>
  <c r="P17" i="26"/>
  <c r="P16" i="26"/>
  <c r="P7" i="26"/>
  <c r="Q4" i="26"/>
  <c r="P8" i="26"/>
  <c r="P9" i="26"/>
  <c r="S15" i="26" l="1"/>
  <c r="S7" i="26"/>
  <c r="S14" i="26"/>
  <c r="S6" i="26"/>
  <c r="S13" i="26"/>
  <c r="S5" i="26"/>
  <c r="S20" i="26"/>
  <c r="S12" i="26"/>
  <c r="S19" i="26"/>
  <c r="S11" i="26"/>
  <c r="S18" i="26"/>
  <c r="S10" i="26"/>
  <c r="S17" i="26"/>
  <c r="S9" i="26"/>
  <c r="S16" i="26"/>
  <c r="S8" i="26"/>
  <c r="T4" i="26"/>
  <c r="G1" i="26" l="1"/>
  <c r="V16" i="26"/>
  <c r="V7" i="26"/>
  <c r="V15" i="26"/>
  <c r="V6" i="26"/>
  <c r="V13" i="26"/>
  <c r="V5" i="26"/>
  <c r="V12" i="26"/>
  <c r="V20" i="26"/>
  <c r="V11" i="26"/>
  <c r="V19" i="26"/>
  <c r="V10" i="26"/>
  <c r="V9" i="26"/>
  <c r="V17" i="26"/>
  <c r="V8" i="26"/>
  <c r="V18" i="26"/>
  <c r="B4" i="27"/>
  <c r="V14" i="26"/>
  <c r="D18" i="27" l="1"/>
  <c r="D9" i="27"/>
  <c r="D17" i="27"/>
  <c r="D16" i="27"/>
  <c r="D6" i="27"/>
  <c r="D5" i="27"/>
  <c r="D13" i="27"/>
  <c r="D12" i="27"/>
  <c r="D19" i="27"/>
  <c r="D10" i="27"/>
  <c r="D20" i="27"/>
  <c r="D11" i="27"/>
  <c r="E4" i="27"/>
  <c r="D15" i="27"/>
  <c r="D14" i="27"/>
  <c r="D8" i="27"/>
  <c r="D7" i="27"/>
  <c r="G20" i="27" l="1"/>
  <c r="G11" i="27"/>
  <c r="G19" i="27"/>
  <c r="G10" i="27"/>
  <c r="G18" i="27"/>
  <c r="G9" i="27"/>
  <c r="G17" i="27"/>
  <c r="G16" i="27"/>
  <c r="G15" i="27"/>
  <c r="G5" i="27"/>
  <c r="G13" i="27"/>
  <c r="G12" i="27"/>
  <c r="H4" i="27"/>
  <c r="G14" i="27"/>
  <c r="G6" i="27"/>
  <c r="G8" i="27"/>
  <c r="G7" i="27"/>
  <c r="J12" i="27" l="1"/>
  <c r="J20" i="27"/>
  <c r="J11" i="27"/>
  <c r="J19" i="27"/>
  <c r="J10" i="27"/>
  <c r="J18" i="27"/>
  <c r="J9" i="27"/>
  <c r="J17" i="27"/>
  <c r="J8" i="27"/>
  <c r="J16" i="27"/>
  <c r="J5" i="27"/>
  <c r="J13" i="27"/>
  <c r="J15" i="27"/>
  <c r="J6" i="27"/>
  <c r="K4" i="27"/>
  <c r="J14" i="27"/>
  <c r="J7" i="27"/>
  <c r="M5" i="27" l="1"/>
  <c r="M12" i="27"/>
  <c r="M20" i="27"/>
  <c r="M11" i="27"/>
  <c r="M19" i="27"/>
  <c r="M10" i="27"/>
  <c r="M18" i="27"/>
  <c r="M9" i="27"/>
  <c r="M17" i="27"/>
  <c r="M8" i="27"/>
  <c r="M16" i="27"/>
  <c r="M15" i="27"/>
  <c r="M6" i="27"/>
  <c r="M14" i="27"/>
  <c r="M7" i="27"/>
  <c r="N4" i="27"/>
  <c r="M13" i="27"/>
  <c r="P14" i="27" l="1"/>
  <c r="P6" i="27"/>
  <c r="P13" i="27"/>
  <c r="P20" i="27"/>
  <c r="P12" i="27"/>
  <c r="P19" i="27"/>
  <c r="P11" i="27"/>
  <c r="P18" i="27"/>
  <c r="P10" i="27"/>
  <c r="P17" i="27"/>
  <c r="P9" i="27"/>
  <c r="P15" i="27"/>
  <c r="P7" i="27"/>
  <c r="P16" i="27"/>
  <c r="P8" i="27"/>
  <c r="Q4" i="27"/>
  <c r="P5" i="27"/>
  <c r="S14" i="27" l="1"/>
  <c r="S6" i="27"/>
  <c r="S13" i="27"/>
  <c r="S5" i="27"/>
  <c r="S20" i="27"/>
  <c r="S12" i="27"/>
  <c r="S19" i="27"/>
  <c r="S11" i="27"/>
  <c r="S18" i="27"/>
  <c r="S10" i="27"/>
  <c r="S17" i="27"/>
  <c r="S9" i="27"/>
  <c r="S15" i="27"/>
  <c r="S7" i="27"/>
  <c r="S16" i="27"/>
  <c r="S8" i="27"/>
  <c r="T4" i="27"/>
  <c r="V6" i="27" l="1"/>
  <c r="V13" i="27"/>
  <c r="V5" i="27"/>
  <c r="V12" i="27"/>
  <c r="V20" i="27"/>
  <c r="V11" i="27"/>
  <c r="V19" i="27"/>
  <c r="V10" i="27"/>
  <c r="V18" i="27"/>
  <c r="V9" i="27"/>
  <c r="V7" i="27"/>
  <c r="V15" i="27"/>
  <c r="V17" i="27"/>
  <c r="V8" i="27"/>
  <c r="B4" i="28"/>
  <c r="V14" i="27"/>
  <c r="V16" i="27"/>
  <c r="G1" i="27"/>
  <c r="D7" i="28" l="1"/>
  <c r="D14" i="28"/>
  <c r="D6" i="28"/>
  <c r="D13" i="28"/>
  <c r="D5" i="28"/>
  <c r="D12" i="28"/>
  <c r="D20" i="28"/>
  <c r="D11" i="28"/>
  <c r="D19" i="28"/>
  <c r="D10" i="28"/>
  <c r="D18" i="28"/>
  <c r="D17" i="28"/>
  <c r="D8" i="28"/>
  <c r="D16" i="28"/>
  <c r="D9" i="28"/>
  <c r="E4" i="28"/>
  <c r="D15" i="28"/>
  <c r="G20" i="28" l="1"/>
  <c r="G19" i="28"/>
  <c r="G10" i="28"/>
  <c r="G16" i="28"/>
  <c r="G7" i="28"/>
  <c r="G9" i="28"/>
  <c r="G8" i="28"/>
  <c r="G6" i="28"/>
  <c r="G18" i="28"/>
  <c r="G17" i="28"/>
  <c r="G13" i="28"/>
  <c r="G11" i="28"/>
  <c r="G12" i="28"/>
  <c r="H4" i="28"/>
  <c r="G15" i="28"/>
  <c r="G14" i="28"/>
  <c r="G5" i="28"/>
  <c r="J12" i="28" l="1"/>
  <c r="J11" i="28"/>
  <c r="J19" i="28"/>
  <c r="J18" i="28"/>
  <c r="J17" i="28"/>
  <c r="J8" i="28"/>
  <c r="J7" i="28"/>
  <c r="J15" i="28"/>
  <c r="J13" i="28"/>
  <c r="J10" i="28"/>
  <c r="J9" i="28"/>
  <c r="J6" i="28"/>
  <c r="J5" i="28"/>
  <c r="J20" i="28"/>
  <c r="J16" i="28"/>
  <c r="K4" i="28"/>
  <c r="J14" i="28"/>
  <c r="M6" i="28" l="1"/>
  <c r="M5" i="28"/>
  <c r="M13" i="28"/>
  <c r="M11" i="28"/>
  <c r="M10" i="28"/>
  <c r="M9" i="28"/>
  <c r="M18" i="28"/>
  <c r="M17" i="28"/>
  <c r="M7" i="28"/>
  <c r="M20" i="28"/>
  <c r="M19" i="28"/>
  <c r="M16" i="28"/>
  <c r="M8" i="28"/>
  <c r="N4" i="28"/>
  <c r="M15" i="28"/>
  <c r="M14" i="28"/>
  <c r="M12" i="28"/>
  <c r="P14" i="28" l="1"/>
  <c r="P6" i="28"/>
  <c r="P13" i="28"/>
  <c r="P5" i="28"/>
  <c r="P18" i="28"/>
  <c r="P10" i="28"/>
  <c r="P17" i="28"/>
  <c r="P9" i="28"/>
  <c r="P20" i="28"/>
  <c r="P19" i="28"/>
  <c r="P16" i="28"/>
  <c r="P15" i="28"/>
  <c r="P12" i="28"/>
  <c r="P11" i="28"/>
  <c r="P8" i="28"/>
  <c r="P7" i="28"/>
  <c r="Q4" i="28"/>
  <c r="S14" i="28" l="1"/>
  <c r="S6" i="28"/>
  <c r="S13" i="28"/>
  <c r="S5" i="28"/>
  <c r="S18" i="28"/>
  <c r="S10" i="28"/>
  <c r="S17" i="28"/>
  <c r="S9" i="28"/>
  <c r="S8" i="28"/>
  <c r="S7" i="28"/>
  <c r="S20" i="28"/>
  <c r="S19" i="28"/>
  <c r="S16" i="28"/>
  <c r="S12" i="28"/>
  <c r="S11" i="28"/>
  <c r="T4" i="28"/>
  <c r="S15" i="28"/>
  <c r="V15" i="28" l="1"/>
  <c r="V6" i="28"/>
  <c r="V5" i="28"/>
  <c r="V13" i="28"/>
  <c r="V12" i="28"/>
  <c r="V19" i="28"/>
  <c r="V10" i="28"/>
  <c r="V18" i="28"/>
  <c r="V9" i="28"/>
  <c r="V16" i="28"/>
  <c r="V8" i="28"/>
  <c r="V7" i="28"/>
  <c r="V20" i="28"/>
  <c r="V17" i="28"/>
  <c r="B4" i="31"/>
  <c r="V14" i="28"/>
  <c r="V11" i="28"/>
  <c r="G1" i="28"/>
  <c r="D18" i="31" l="1"/>
  <c r="D17" i="31"/>
  <c r="D7" i="31"/>
  <c r="D6" i="31"/>
  <c r="D13" i="31"/>
  <c r="D11" i="31"/>
  <c r="D10" i="31"/>
  <c r="D19" i="31"/>
  <c r="D20" i="31"/>
  <c r="D16" i="31"/>
  <c r="D9" i="31"/>
  <c r="D8" i="31"/>
  <c r="E4" i="31"/>
  <c r="D5" i="31"/>
  <c r="D14" i="31"/>
  <c r="D12" i="31"/>
  <c r="D15" i="31"/>
  <c r="G10" i="31" l="1"/>
  <c r="G9" i="31"/>
  <c r="G17" i="31"/>
  <c r="G16" i="31"/>
  <c r="G7" i="31"/>
  <c r="G6" i="31"/>
  <c r="G5" i="31"/>
  <c r="G13" i="31"/>
  <c r="G20" i="31"/>
  <c r="G12" i="31"/>
  <c r="G19" i="31"/>
  <c r="G18" i="31"/>
  <c r="G15" i="31"/>
  <c r="G14" i="31"/>
  <c r="G8" i="31"/>
  <c r="H4" i="31"/>
  <c r="G11" i="31"/>
  <c r="J19" i="31" l="1"/>
  <c r="J11" i="31"/>
  <c r="J18" i="31"/>
  <c r="J10" i="31"/>
  <c r="J8" i="31"/>
  <c r="J16" i="31"/>
  <c r="J15" i="31"/>
  <c r="J14" i="31"/>
  <c r="J5" i="31"/>
  <c r="J20" i="31"/>
  <c r="J12" i="31"/>
  <c r="J13" i="31"/>
  <c r="J7" i="31"/>
  <c r="J6" i="31"/>
  <c r="J17" i="31"/>
  <c r="K4" i="31"/>
  <c r="J9" i="31"/>
  <c r="M12" i="31" l="1"/>
  <c r="M11" i="31"/>
  <c r="M19" i="31"/>
  <c r="M18" i="31"/>
  <c r="M7" i="31"/>
  <c r="M6" i="31"/>
  <c r="M15" i="31"/>
  <c r="M13" i="31"/>
  <c r="M20" i="31"/>
  <c r="M17" i="31"/>
  <c r="M16" i="31"/>
  <c r="M10" i="31"/>
  <c r="M5" i="31"/>
  <c r="N4" i="31"/>
  <c r="M14" i="31"/>
  <c r="M9" i="31"/>
  <c r="M8" i="31"/>
  <c r="P19" i="31" l="1"/>
  <c r="P11" i="31"/>
  <c r="P18" i="31"/>
  <c r="P10" i="31"/>
  <c r="P15" i="31"/>
  <c r="P7" i="31"/>
  <c r="P14" i="31"/>
  <c r="P6" i="31"/>
  <c r="P20" i="31"/>
  <c r="P17" i="31"/>
  <c r="P16" i="31"/>
  <c r="P13" i="31"/>
  <c r="P12" i="31"/>
  <c r="P8" i="31"/>
  <c r="P5" i="31"/>
  <c r="P9" i="31"/>
  <c r="Q4" i="31"/>
  <c r="S20" i="31" l="1"/>
  <c r="S12" i="31"/>
  <c r="S19" i="31"/>
  <c r="S11" i="31"/>
  <c r="S18" i="31"/>
  <c r="S10" i="31"/>
  <c r="S15" i="31"/>
  <c r="S7" i="31"/>
  <c r="S14" i="31"/>
  <c r="S6" i="31"/>
  <c r="S9" i="31"/>
  <c r="S8" i="31"/>
  <c r="S5" i="31"/>
  <c r="S17" i="31"/>
  <c r="S16" i="31"/>
  <c r="S13" i="31"/>
  <c r="T4" i="31"/>
  <c r="V12" i="31" l="1"/>
  <c r="V19" i="31"/>
  <c r="V10" i="31"/>
  <c r="V18" i="31"/>
  <c r="V9" i="31"/>
  <c r="V17" i="31"/>
  <c r="V8" i="31"/>
  <c r="V16" i="31"/>
  <c r="V6" i="31"/>
  <c r="V15" i="31"/>
  <c r="V20" i="31"/>
  <c r="V11" i="31"/>
  <c r="V5" i="31"/>
  <c r="B4" i="32"/>
  <c r="V13" i="31"/>
  <c r="V14" i="31"/>
  <c r="V7" i="31"/>
  <c r="AK11" i="12"/>
  <c r="AM5" i="12" s="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 r="G1" i="31"/>
  <c r="D6" i="32" l="1"/>
  <c r="D14" i="32"/>
  <c r="D5" i="32"/>
  <c r="D12" i="32"/>
  <c r="D20" i="32"/>
  <c r="D11" i="32"/>
  <c r="D19" i="32"/>
  <c r="D10" i="32"/>
  <c r="D18" i="32"/>
  <c r="D17" i="32"/>
  <c r="D7" i="32"/>
  <c r="D16" i="32"/>
  <c r="D13" i="32"/>
  <c r="E4" i="32"/>
  <c r="D15" i="32"/>
  <c r="D9" i="32"/>
  <c r="D8" i="32"/>
  <c r="G15" i="32" l="1"/>
  <c r="G7" i="32"/>
  <c r="G14" i="32"/>
  <c r="G6" i="32"/>
  <c r="G13" i="32"/>
  <c r="G5" i="32"/>
  <c r="G20" i="32"/>
  <c r="G12" i="32"/>
  <c r="G19" i="32"/>
  <c r="G11" i="32"/>
  <c r="G18" i="32"/>
  <c r="G10" i="32"/>
  <c r="G17" i="32"/>
  <c r="G9" i="32"/>
  <c r="G16" i="32"/>
  <c r="G8" i="32"/>
  <c r="H4" i="32"/>
  <c r="J15" i="32" l="1"/>
  <c r="J7" i="32"/>
  <c r="J14" i="32"/>
  <c r="J6" i="32"/>
  <c r="J13" i="32"/>
  <c r="J5" i="32"/>
  <c r="J20" i="32"/>
  <c r="J12" i="32"/>
  <c r="J19" i="32"/>
  <c r="J11" i="32"/>
  <c r="J18" i="32"/>
  <c r="J10" i="32"/>
  <c r="J17" i="32"/>
  <c r="J9" i="32"/>
  <c r="J8" i="32"/>
  <c r="J16" i="32"/>
  <c r="K4" i="32"/>
  <c r="M17" i="32" l="1"/>
  <c r="M8" i="32"/>
  <c r="M16" i="32"/>
  <c r="M7" i="32"/>
  <c r="M5" i="32"/>
  <c r="M13" i="32"/>
  <c r="M12" i="32"/>
  <c r="M20" i="32"/>
  <c r="M11" i="32"/>
  <c r="M19" i="32"/>
  <c r="M10" i="32"/>
  <c r="M18" i="32"/>
  <c r="M9" i="32"/>
  <c r="N4" i="32"/>
  <c r="M14" i="32"/>
  <c r="M15" i="32"/>
  <c r="M6" i="32"/>
  <c r="P17" i="32" l="1"/>
  <c r="P9" i="32"/>
  <c r="P16" i="32"/>
  <c r="P8" i="32"/>
  <c r="P15" i="32"/>
  <c r="P7" i="32"/>
  <c r="P14" i="32"/>
  <c r="P6" i="32"/>
  <c r="P13" i="32"/>
  <c r="P5" i="32"/>
  <c r="P20" i="32"/>
  <c r="P12" i="32"/>
  <c r="P19" i="32"/>
  <c r="P11" i="32"/>
  <c r="P18" i="32"/>
  <c r="P10" i="32"/>
  <c r="Q4" i="32"/>
  <c r="S17" i="32" l="1"/>
  <c r="S9" i="32"/>
  <c r="S16" i="32"/>
  <c r="S8" i="32"/>
  <c r="S15" i="32"/>
  <c r="S7" i="32"/>
  <c r="S14" i="32"/>
  <c r="S6" i="32"/>
  <c r="S13" i="32"/>
  <c r="S5" i="32"/>
  <c r="S20" i="32"/>
  <c r="S12" i="32"/>
  <c r="S19" i="32"/>
  <c r="S11" i="32"/>
  <c r="S18" i="32"/>
  <c r="S10" i="32"/>
  <c r="T4" i="32"/>
  <c r="V18" i="32" l="1"/>
  <c r="V9" i="32"/>
  <c r="V17" i="32"/>
  <c r="V8" i="32"/>
  <c r="V16" i="32"/>
  <c r="V7" i="32"/>
  <c r="V15" i="32"/>
  <c r="V6" i="32"/>
  <c r="V5" i="32"/>
  <c r="V12" i="32"/>
  <c r="V20" i="32"/>
  <c r="V11" i="32"/>
  <c r="V19" i="32"/>
  <c r="V10" i="32"/>
  <c r="B4" i="33"/>
  <c r="V14" i="32"/>
  <c r="V13" i="32"/>
  <c r="G1" i="32"/>
  <c r="D10" i="33" l="1"/>
  <c r="D18" i="33"/>
  <c r="D9" i="33"/>
  <c r="D17" i="33"/>
  <c r="D8" i="33"/>
  <c r="D16" i="33"/>
  <c r="D7" i="33"/>
  <c r="D15" i="33"/>
  <c r="D6" i="33"/>
  <c r="D14" i="33"/>
  <c r="D5" i="33"/>
  <c r="D12" i="33"/>
  <c r="D20" i="33"/>
  <c r="D11" i="33"/>
  <c r="D19" i="33"/>
  <c r="E4" i="33"/>
  <c r="D13" i="33"/>
  <c r="G19" i="33" l="1"/>
  <c r="G10" i="33"/>
  <c r="G18" i="33"/>
  <c r="G9" i="33"/>
  <c r="G15" i="33"/>
  <c r="G17" i="33"/>
  <c r="G8" i="33"/>
  <c r="G16" i="33"/>
  <c r="G7" i="33"/>
  <c r="G14" i="33"/>
  <c r="G6" i="33"/>
  <c r="G13" i="33"/>
  <c r="G5" i="33"/>
  <c r="G12" i="33"/>
  <c r="G20" i="33"/>
  <c r="G11" i="33"/>
  <c r="H4" i="33"/>
  <c r="J20" i="33" l="1"/>
  <c r="J11" i="33"/>
  <c r="J19" i="33"/>
  <c r="J10" i="33"/>
  <c r="J18" i="33"/>
  <c r="J9" i="33"/>
  <c r="J17" i="33"/>
  <c r="J8" i="33"/>
  <c r="J7" i="33"/>
  <c r="J15" i="33"/>
  <c r="J6" i="33"/>
  <c r="J13" i="33"/>
  <c r="J5" i="33"/>
  <c r="J12" i="33"/>
  <c r="K4" i="33"/>
  <c r="J14" i="33"/>
  <c r="J16" i="33"/>
  <c r="M12" i="33" l="1"/>
  <c r="M20" i="33"/>
  <c r="M11" i="33"/>
  <c r="M19" i="33"/>
  <c r="M10" i="33"/>
  <c r="M18" i="33"/>
  <c r="M9" i="33"/>
  <c r="M17" i="33"/>
  <c r="M8" i="33"/>
  <c r="M7" i="33"/>
  <c r="M14" i="33"/>
  <c r="M6" i="33"/>
  <c r="M13" i="33"/>
  <c r="M5" i="33"/>
  <c r="N4" i="33"/>
  <c r="M15" i="33"/>
  <c r="M16" i="33"/>
  <c r="P13" i="33" l="1"/>
  <c r="P5" i="33"/>
  <c r="P20" i="33"/>
  <c r="P12" i="33"/>
  <c r="P19" i="33"/>
  <c r="P11" i="33"/>
  <c r="P18" i="33"/>
  <c r="P10" i="33"/>
  <c r="P17" i="33"/>
  <c r="P9" i="33"/>
  <c r="P16" i="33"/>
  <c r="P8" i="33"/>
  <c r="P15" i="33"/>
  <c r="P7" i="33"/>
  <c r="P14" i="33"/>
  <c r="P6" i="33"/>
  <c r="Q4" i="33"/>
  <c r="S5" i="33" l="1"/>
  <c r="S13" i="33"/>
  <c r="S20" i="33"/>
  <c r="S12" i="33"/>
  <c r="S19" i="33"/>
  <c r="S11" i="33"/>
  <c r="S18" i="33"/>
  <c r="S10" i="33"/>
  <c r="S17" i="33"/>
  <c r="S8" i="33"/>
  <c r="S16" i="33"/>
  <c r="S7" i="33"/>
  <c r="S15" i="33"/>
  <c r="S6" i="33"/>
  <c r="S14" i="33"/>
  <c r="T4" i="33"/>
  <c r="S9" i="33"/>
  <c r="V13" i="33" l="1"/>
  <c r="V5" i="33"/>
  <c r="V20" i="33"/>
  <c r="V12" i="33"/>
  <c r="V19" i="33"/>
  <c r="V11" i="33"/>
  <c r="V18" i="33"/>
  <c r="V10" i="33"/>
  <c r="V17" i="33"/>
  <c r="V9" i="33"/>
  <c r="V16" i="33"/>
  <c r="V8" i="33"/>
  <c r="V15" i="33"/>
  <c r="V7" i="33"/>
  <c r="V14" i="33"/>
  <c r="V6" i="33"/>
  <c r="B4" i="34"/>
  <c r="G1" i="33"/>
  <c r="D6" i="34" l="1"/>
  <c r="D13" i="34"/>
  <c r="D12" i="34"/>
  <c r="D20" i="34"/>
  <c r="D11" i="34"/>
  <c r="D19" i="34"/>
  <c r="D10" i="34"/>
  <c r="D18" i="34"/>
  <c r="D9" i="34"/>
  <c r="D17" i="34"/>
  <c r="D8" i="34"/>
  <c r="D16" i="34"/>
  <c r="D7" i="34"/>
  <c r="D15" i="34"/>
  <c r="E4" i="34"/>
  <c r="D5" i="34"/>
  <c r="D14" i="34"/>
  <c r="G14" i="34" l="1"/>
  <c r="G6" i="34"/>
  <c r="G13" i="34"/>
  <c r="G5" i="34"/>
  <c r="G20" i="34"/>
  <c r="G12" i="34"/>
  <c r="G19" i="34"/>
  <c r="G11" i="34"/>
  <c r="G18" i="34"/>
  <c r="G10" i="34"/>
  <c r="G17" i="34"/>
  <c r="G9" i="34"/>
  <c r="G16" i="34"/>
  <c r="G8" i="34"/>
  <c r="G15" i="34"/>
  <c r="G7" i="34"/>
  <c r="H4" i="34"/>
  <c r="J6" i="34" l="1"/>
  <c r="J13" i="34"/>
  <c r="J5" i="34"/>
  <c r="J12" i="34"/>
  <c r="J20" i="34"/>
  <c r="J11" i="34"/>
  <c r="J19" i="34"/>
  <c r="J10" i="34"/>
  <c r="J18" i="34"/>
  <c r="J9" i="34"/>
  <c r="J17" i="34"/>
  <c r="J8" i="34"/>
  <c r="J16" i="34"/>
  <c r="J7" i="34"/>
  <c r="K4" i="34"/>
  <c r="J15" i="34"/>
  <c r="J14" i="34"/>
  <c r="M16" i="34" l="1"/>
  <c r="M7" i="34"/>
  <c r="M14" i="34"/>
  <c r="M6" i="34"/>
  <c r="M13" i="34"/>
  <c r="M5" i="34"/>
  <c r="M12" i="34"/>
  <c r="M20" i="34"/>
  <c r="M11" i="34"/>
  <c r="M19" i="34"/>
  <c r="M10" i="34"/>
  <c r="M18" i="34"/>
  <c r="M9" i="34"/>
  <c r="M17" i="34"/>
  <c r="M8" i="34"/>
  <c r="N4" i="34"/>
  <c r="M15" i="34"/>
  <c r="P16" i="34" l="1"/>
  <c r="P8" i="34"/>
  <c r="P15" i="34"/>
  <c r="P7" i="34"/>
  <c r="P14" i="34"/>
  <c r="P6" i="34"/>
  <c r="P13" i="34"/>
  <c r="P20" i="34"/>
  <c r="P12" i="34"/>
  <c r="P19" i="34"/>
  <c r="P11" i="34"/>
  <c r="P18" i="34"/>
  <c r="P10" i="34"/>
  <c r="P17" i="34"/>
  <c r="P9" i="34"/>
  <c r="Q4" i="34"/>
  <c r="P5" i="34"/>
  <c r="S17" i="34" l="1"/>
  <c r="S8" i="34"/>
  <c r="S16" i="34"/>
  <c r="S7" i="34"/>
  <c r="S15" i="34"/>
  <c r="S6" i="34"/>
  <c r="S14" i="34"/>
  <c r="S5" i="34"/>
  <c r="S13" i="34"/>
  <c r="S20" i="34"/>
  <c r="S12" i="34"/>
  <c r="S19" i="34"/>
  <c r="S11" i="34"/>
  <c r="S18" i="34"/>
  <c r="S9" i="34"/>
  <c r="T4" i="34"/>
  <c r="S10" i="34"/>
  <c r="V9" i="34" l="1"/>
  <c r="V17" i="34"/>
  <c r="V8" i="34"/>
  <c r="V16" i="34"/>
  <c r="V7" i="34"/>
  <c r="V15" i="34"/>
  <c r="V6" i="34"/>
  <c r="V13" i="34"/>
  <c r="V5" i="34"/>
  <c r="V12" i="34"/>
  <c r="V20" i="34"/>
  <c r="V11" i="34"/>
  <c r="V19" i="34"/>
  <c r="V10" i="34"/>
  <c r="V18" i="34"/>
  <c r="B4" i="35"/>
  <c r="V14" i="34"/>
  <c r="G1" i="34"/>
  <c r="D10" i="35" l="1"/>
  <c r="D18" i="35"/>
  <c r="D9" i="35"/>
  <c r="D17" i="35"/>
  <c r="D8" i="35"/>
  <c r="D16" i="35"/>
  <c r="D7" i="35"/>
  <c r="D14" i="35"/>
  <c r="D6" i="35"/>
  <c r="D13" i="35"/>
  <c r="D12" i="35"/>
  <c r="D20" i="35"/>
  <c r="D11" i="35"/>
  <c r="D19" i="35"/>
  <c r="E4" i="35"/>
  <c r="D15" i="35"/>
  <c r="D5" i="35"/>
  <c r="G18" i="35" l="1"/>
  <c r="G10" i="35"/>
  <c r="G17" i="35"/>
  <c r="G9" i="35"/>
  <c r="G16" i="35"/>
  <c r="G8" i="35"/>
  <c r="G15" i="35"/>
  <c r="G7" i="35"/>
  <c r="G14" i="35"/>
  <c r="G6" i="35"/>
  <c r="G13" i="35"/>
  <c r="G5" i="35"/>
  <c r="G20" i="35"/>
  <c r="G12" i="35"/>
  <c r="G19" i="35"/>
  <c r="G11" i="35"/>
  <c r="H4" i="35"/>
  <c r="J19" i="35" l="1"/>
  <c r="J10" i="35"/>
  <c r="J18" i="35"/>
  <c r="J9" i="35"/>
  <c r="J17" i="35"/>
  <c r="J8" i="35"/>
  <c r="J7" i="35"/>
  <c r="J14" i="35"/>
  <c r="J6" i="35"/>
  <c r="J13" i="35"/>
  <c r="J5" i="35"/>
  <c r="J12" i="35"/>
  <c r="J20" i="35"/>
  <c r="J11" i="35"/>
  <c r="K4" i="35"/>
  <c r="J15" i="35"/>
  <c r="J16" i="35"/>
  <c r="M19" i="35" l="1"/>
  <c r="M11" i="35"/>
  <c r="M18" i="35"/>
  <c r="M10" i="35"/>
  <c r="M17" i="35"/>
  <c r="M9" i="35"/>
  <c r="M16" i="35"/>
  <c r="M8" i="35"/>
  <c r="M15" i="35"/>
  <c r="M7" i="35"/>
  <c r="M14" i="35"/>
  <c r="M6" i="35"/>
  <c r="M13" i="35"/>
  <c r="M5" i="35"/>
  <c r="M20" i="35"/>
  <c r="M12" i="35"/>
  <c r="N4" i="35"/>
  <c r="P19" i="35" l="1"/>
  <c r="P11" i="35"/>
  <c r="P18" i="35"/>
  <c r="P10" i="35"/>
  <c r="P17" i="35"/>
  <c r="P9" i="35"/>
  <c r="P16" i="35"/>
  <c r="P8" i="35"/>
  <c r="P15" i="35"/>
  <c r="P7" i="35"/>
  <c r="P14" i="35"/>
  <c r="P6" i="35"/>
  <c r="P13" i="35"/>
  <c r="P5" i="35"/>
  <c r="P12" i="35"/>
  <c r="P20" i="35"/>
  <c r="Q4" i="35"/>
  <c r="S20" i="35" l="1"/>
  <c r="S12" i="35"/>
  <c r="S19" i="35"/>
  <c r="S11" i="35"/>
  <c r="S18" i="35"/>
  <c r="S10" i="35"/>
  <c r="S17" i="35"/>
  <c r="S9" i="35"/>
  <c r="S16" i="35"/>
  <c r="S8" i="35"/>
  <c r="S15" i="35"/>
  <c r="S7" i="35"/>
  <c r="S14" i="35"/>
  <c r="S5" i="35"/>
  <c r="S13" i="35"/>
  <c r="T4" i="35"/>
  <c r="S6" i="35"/>
  <c r="G1" i="35" l="1"/>
  <c r="V12" i="35"/>
  <c r="V20" i="35"/>
  <c r="V11" i="35"/>
  <c r="V19" i="35"/>
  <c r="V10" i="35"/>
  <c r="V18" i="35"/>
  <c r="V9" i="35"/>
  <c r="V17" i="35"/>
  <c r="V16" i="35"/>
  <c r="V7" i="35"/>
  <c r="V15" i="35"/>
  <c r="V6" i="35"/>
  <c r="V14" i="35"/>
  <c r="V5" i="35"/>
  <c r="B4" i="36"/>
  <c r="V8" i="35"/>
  <c r="V13" i="35"/>
  <c r="D13" i="36" l="1"/>
  <c r="D5" i="36"/>
  <c r="D12" i="36"/>
  <c r="D20" i="36"/>
  <c r="D11" i="36"/>
  <c r="D19" i="36"/>
  <c r="D10" i="36"/>
  <c r="D18" i="36"/>
  <c r="D9" i="36"/>
  <c r="D17" i="36"/>
  <c r="D8" i="36"/>
  <c r="D16" i="36"/>
  <c r="D7" i="36"/>
  <c r="D6" i="36"/>
  <c r="E4" i="36"/>
  <c r="D15" i="36"/>
  <c r="D14" i="36"/>
  <c r="G15" i="36" l="1"/>
  <c r="G6" i="36"/>
  <c r="G14" i="36"/>
  <c r="G13" i="36"/>
  <c r="G20" i="36"/>
  <c r="G12" i="36"/>
  <c r="G19" i="36"/>
  <c r="G18" i="36"/>
  <c r="G9" i="36"/>
  <c r="G17" i="36"/>
  <c r="G8" i="36"/>
  <c r="G16" i="36"/>
  <c r="G7" i="36"/>
  <c r="H4" i="36"/>
  <c r="G10" i="36"/>
  <c r="G5" i="36"/>
  <c r="G11" i="36"/>
  <c r="J15" i="36" l="1"/>
  <c r="J7" i="36"/>
  <c r="J14" i="36"/>
  <c r="J6" i="36"/>
  <c r="J13" i="36"/>
  <c r="J5" i="36"/>
  <c r="J20" i="36"/>
  <c r="J12" i="36"/>
  <c r="J19" i="36"/>
  <c r="J11" i="36"/>
  <c r="J18" i="36"/>
  <c r="J10" i="36"/>
  <c r="J17" i="36"/>
  <c r="J9" i="36"/>
  <c r="J16" i="36"/>
  <c r="J8" i="36"/>
  <c r="K4" i="36"/>
  <c r="G1" i="36" s="1"/>
  <c r="M15" i="36" l="1"/>
  <c r="M7" i="36"/>
  <c r="M14" i="36"/>
  <c r="M6" i="36"/>
  <c r="M13" i="36"/>
  <c r="M5" i="36"/>
  <c r="M20" i="36"/>
  <c r="M12" i="36"/>
  <c r="M19" i="36"/>
  <c r="M11" i="36"/>
  <c r="M18" i="36"/>
  <c r="M10" i="36"/>
  <c r="M17" i="36"/>
  <c r="M9" i="36"/>
  <c r="M16" i="36"/>
  <c r="M8" i="36"/>
  <c r="AC129" i="10" l="1"/>
  <c r="AC132" i="10"/>
  <c r="AC137" i="10"/>
  <c r="AC138" i="10"/>
  <c r="AC135" i="10"/>
  <c r="AC139" i="10"/>
  <c r="AC131" i="10"/>
  <c r="AC134" i="10"/>
  <c r="AC141" i="10"/>
  <c r="AC136" i="10"/>
  <c r="AC140" i="10"/>
  <c r="AC133" i="10"/>
  <c r="AC130" i="10"/>
  <c r="AC128" i="10"/>
  <c r="AC117" i="10"/>
  <c r="AC118" i="10"/>
  <c r="AC124" i="10"/>
  <c r="AC127" i="10"/>
  <c r="AC120" i="10"/>
  <c r="AC126" i="10"/>
  <c r="AC115" i="10"/>
  <c r="AC125" i="10"/>
  <c r="AC122" i="10"/>
  <c r="AC116" i="10"/>
  <c r="AC121" i="10"/>
  <c r="AC123" i="10"/>
  <c r="AC78" i="10"/>
  <c r="AC119" i="10"/>
  <c r="AC103" i="10"/>
  <c r="AC84" i="10"/>
  <c r="AC31" i="10"/>
  <c r="AC70" i="10"/>
  <c r="AC4" i="10"/>
  <c r="AC73" i="10"/>
  <c r="AC105" i="10"/>
  <c r="AC47" i="10"/>
  <c r="AC112" i="10"/>
  <c r="AC48" i="10"/>
  <c r="AC60" i="10"/>
  <c r="AC61" i="10"/>
  <c r="AC75" i="10"/>
  <c r="AC94" i="10"/>
  <c r="AC88" i="10"/>
  <c r="AC44" i="10"/>
  <c r="AC6" i="10"/>
  <c r="AC35" i="10"/>
  <c r="AC19" i="10"/>
  <c r="AC3" i="10"/>
  <c r="AC24" i="10"/>
  <c r="AC111" i="10"/>
  <c r="AC36" i="10"/>
  <c r="AC28" i="10"/>
  <c r="AC92" i="10"/>
  <c r="AC58" i="10"/>
  <c r="AC55" i="10"/>
  <c r="AC13" i="10"/>
  <c r="AC86" i="10"/>
  <c r="AC108" i="10"/>
  <c r="AC113" i="10"/>
  <c r="AC54" i="10"/>
  <c r="AC50" i="10"/>
  <c r="AC20" i="10"/>
  <c r="AC39" i="10"/>
  <c r="AC90" i="10"/>
  <c r="AC114" i="10"/>
  <c r="AC29" i="10"/>
  <c r="AC25" i="10"/>
  <c r="AC18" i="10"/>
  <c r="AC77" i="10"/>
  <c r="AC63" i="10"/>
  <c r="AC17" i="10"/>
  <c r="AC69" i="10"/>
  <c r="AC101" i="10"/>
  <c r="AC9" i="10"/>
  <c r="AC83" i="10"/>
  <c r="AC43" i="10"/>
  <c r="AC104" i="10"/>
  <c r="AC42" i="10"/>
  <c r="AC41" i="10"/>
  <c r="AC38" i="10"/>
  <c r="AC109" i="10"/>
  <c r="AC5" i="10"/>
  <c r="AC100" i="10"/>
  <c r="AC76" i="10"/>
  <c r="AC21" i="10"/>
  <c r="AC15" i="10"/>
  <c r="AC89" i="10"/>
  <c r="AC30" i="10"/>
  <c r="AC10" i="10"/>
  <c r="AC51" i="10"/>
  <c r="AC11" i="10"/>
  <c r="AC12" i="10"/>
  <c r="AC110" i="10"/>
  <c r="AC81" i="10"/>
  <c r="AC79" i="10"/>
  <c r="AC16" i="10"/>
  <c r="AC26" i="10"/>
  <c r="AC57" i="10"/>
  <c r="AC74" i="10"/>
  <c r="AC8" i="10"/>
  <c r="AC27" i="10"/>
  <c r="AC95" i="10"/>
  <c r="AC45" i="10"/>
  <c r="AC22" i="10"/>
  <c r="AC59" i="10"/>
  <c r="AC34" i="10"/>
  <c r="AC52" i="10"/>
  <c r="AC71" i="10"/>
  <c r="AC7" i="10"/>
  <c r="AC49" i="10"/>
  <c r="AC53" i="10"/>
  <c r="AC64" i="10"/>
  <c r="AC32" i="10"/>
  <c r="AC106" i="10"/>
  <c r="AC65" i="10"/>
  <c r="AC40" i="10"/>
  <c r="AC91" i="10"/>
  <c r="AC62" i="10"/>
  <c r="AC82" i="10"/>
  <c r="AC46" i="10"/>
  <c r="AC98" i="10"/>
  <c r="AC102" i="10"/>
  <c r="AC68" i="10"/>
  <c r="AC107" i="10"/>
  <c r="AC67" i="10"/>
  <c r="AC37" i="10"/>
  <c r="AC96" i="10"/>
  <c r="AC85" i="10"/>
  <c r="AC33" i="10"/>
  <c r="AC66" i="10"/>
  <c r="AC14" i="10"/>
  <c r="AC93" i="10"/>
  <c r="AC80" i="10"/>
  <c r="AC23" i="10"/>
  <c r="AC87" i="10"/>
  <c r="AC99" i="10"/>
  <c r="AC72" i="10"/>
  <c r="AC56" i="10"/>
  <c r="AC97" i="10"/>
</calcChain>
</file>

<file path=xl/sharedStrings.xml><?xml version="1.0" encoding="utf-8"?>
<sst xmlns="http://schemas.openxmlformats.org/spreadsheetml/2006/main" count="2590" uniqueCount="328">
  <si>
    <t>H</t>
  </si>
  <si>
    <t>N</t>
  </si>
  <si>
    <t>B</t>
  </si>
  <si>
    <t>X</t>
  </si>
  <si>
    <t>F</t>
  </si>
  <si>
    <t>O</t>
  </si>
  <si>
    <t>I</t>
  </si>
  <si>
    <t>M</t>
  </si>
  <si>
    <t>J</t>
  </si>
  <si>
    <t>D</t>
  </si>
  <si>
    <t>G</t>
  </si>
  <si>
    <t>E</t>
  </si>
  <si>
    <t>Stöð 2</t>
  </si>
  <si>
    <t>Fyrir</t>
  </si>
  <si>
    <t>Inní</t>
  </si>
  <si>
    <t>Verð</t>
  </si>
  <si>
    <t>C</t>
  </si>
  <si>
    <t>K</t>
  </si>
  <si>
    <t>L</t>
  </si>
  <si>
    <t>S</t>
  </si>
  <si>
    <t>T</t>
  </si>
  <si>
    <t>U</t>
  </si>
  <si>
    <t>Bíóstöðin</t>
  </si>
  <si>
    <t>Vikan mínus þri</t>
  </si>
  <si>
    <t>Opið frá</t>
  </si>
  <si>
    <t>Opið til</t>
  </si>
  <si>
    <t>Þri</t>
  </si>
  <si>
    <t>Virkir</t>
  </si>
  <si>
    <t>Frá</t>
  </si>
  <si>
    <t>Til</t>
  </si>
  <si>
    <t>Frí</t>
  </si>
  <si>
    <t>Opið</t>
  </si>
  <si>
    <t>Fös</t>
  </si>
  <si>
    <t>Lau</t>
  </si>
  <si>
    <t>Sun</t>
  </si>
  <si>
    <t>Bold and the Beautiful</t>
  </si>
  <si>
    <t>Sportpakkinn</t>
  </si>
  <si>
    <t>Fréttir</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</si>
  <si>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</si>
  <si>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</si>
  <si>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</si>
  <si>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</si>
  <si>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</si>
  <si>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</si>
  <si>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</si>
  <si>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</si>
  <si>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</si>
  <si>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</si>
  <si>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</si>
  <si>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</si>
  <si>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</si>
  <si>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</si>
  <si>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</si>
  <si>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</si>
  <si>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</si>
  <si>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</si>
  <si>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</si>
  <si>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</si>
  <si>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</si>
  <si>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</si>
  <si>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</si>
  <si>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</si>
  <si>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</si>
  <si>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</si>
  <si>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</si>
  <si>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</si>
  <si>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</si>
  <si>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</si>
  <si>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</si>
  <si>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</si>
  <si>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</si>
  <si>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</si>
  <si>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</si>
  <si>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</si>
  <si>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</si>
  <si>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</si>
  <si>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</si>
  <si>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</si>
  <si>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</si>
  <si>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</si>
  <si>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</si>
  <si>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</si>
  <si>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</si>
  <si>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</si>
  <si>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</si>
  <si>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12-80 ára Karlar</t>
  </si>
  <si>
    <t>12-80 ára áskrift ST2</t>
  </si>
  <si>
    <t>Gullstöðin</t>
  </si>
  <si>
    <t>Milli 21:30 og 22:30</t>
  </si>
  <si>
    <t>Númer hólfa</t>
  </si>
  <si>
    <t>Dags.</t>
  </si>
  <si>
    <t>Alltaf</t>
  </si>
  <si>
    <t>Álag tímabila</t>
  </si>
  <si>
    <t>Sekúndur</t>
  </si>
  <si>
    <t>Targets</t>
  </si>
  <si>
    <t>365 sjónvarp</t>
  </si>
  <si>
    <t>Viðbót</t>
  </si>
  <si>
    <t>Birtingar</t>
  </si>
  <si>
    <t>60 Minutes</t>
  </si>
  <si>
    <t>(AVERAGE(Q3:T3)/AVERAGE(B3:E3))*F3</t>
  </si>
  <si>
    <t>Basic</t>
  </si>
  <si>
    <t>Sumarskjáauglýsingar</t>
  </si>
  <si>
    <t>Áætlun</t>
  </si>
  <si>
    <t>Alls</t>
  </si>
  <si>
    <t>Mánaðarálag</t>
  </si>
  <si>
    <t>Stillingar</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</si>
  <si>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</si>
  <si>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</si>
  <si>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</si>
  <si>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</si>
  <si>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</si>
  <si>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</si>
  <si>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</si>
  <si>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</si>
  <si>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</si>
  <si>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</si>
  <si>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</si>
  <si>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</si>
  <si>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</si>
  <si>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</si>
  <si>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</si>
  <si>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</si>
  <si>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</si>
  <si>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</si>
  <si>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</si>
  <si>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</si>
  <si>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</si>
  <si>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</si>
  <si>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</si>
  <si>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</si>
  <si>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</si>
  <si>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</si>
  <si>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</si>
  <si>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</si>
  <si>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</si>
  <si>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</si>
  <si>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</si>
  <si>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</si>
  <si>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</si>
  <si>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</si>
  <si>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</si>
  <si>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</si>
  <si>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</si>
  <si>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</si>
  <si>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</si>
  <si>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</si>
  <si>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</si>
  <si>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</si>
  <si>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Ísland í dag</t>
  </si>
  <si>
    <t>Fjöldi</t>
  </si>
  <si>
    <t>Stöð 2 Fjölskylda</t>
  </si>
  <si>
    <t>Mánuður</t>
  </si>
  <si>
    <t>Veður</t>
  </si>
  <si>
    <t>IF((B3*7)-(AVERAGE(W3:AB3)*6)&lt;0;0;(B3*7)-(AVERAGE(W3:AB3)*6))</t>
  </si>
  <si>
    <t>Janúar</t>
  </si>
  <si>
    <t>Febrúar</t>
  </si>
  <si>
    <t>Mars</t>
  </si>
  <si>
    <t>Apríl</t>
  </si>
  <si>
    <t>Maí</t>
  </si>
  <si>
    <t>Júní</t>
  </si>
  <si>
    <t>Júlí</t>
  </si>
  <si>
    <t>Ágúst</t>
  </si>
  <si>
    <t>September</t>
  </si>
  <si>
    <t>Október</t>
  </si>
  <si>
    <t>Nóvember</t>
  </si>
  <si>
    <t>Desember</t>
  </si>
  <si>
    <t>18 ára og eldri</t>
  </si>
  <si>
    <t>Verð á P</t>
  </si>
  <si>
    <t>Verð á birtingu</t>
  </si>
  <si>
    <t>The Goldbergs</t>
  </si>
  <si>
    <t>Your Home Made Perfect</t>
  </si>
  <si>
    <t>The Singles Table</t>
  </si>
  <si>
    <t>Fantasy Island</t>
  </si>
  <si>
    <t>Race Across the World</t>
  </si>
  <si>
    <t>Inside Edinburgh Zoo</t>
  </si>
  <si>
    <t>DNA Family Secrets</t>
  </si>
  <si>
    <t>The Gymnasts</t>
  </si>
  <si>
    <t>The Ex-Wife</t>
  </si>
  <si>
    <t>Gerum betur með Gurrý</t>
  </si>
  <si>
    <t>Bætt um betur</t>
  </si>
  <si>
    <t>The Pact</t>
  </si>
  <si>
    <t>The Masked Singer</t>
  </si>
  <si>
    <t/>
  </si>
  <si>
    <t>Better</t>
  </si>
  <si>
    <t>Minx</t>
  </si>
  <si>
    <t>Black Snow</t>
  </si>
  <si>
    <t>Shark Tank</t>
  </si>
  <si>
    <t>B Positive</t>
  </si>
  <si>
    <t>Call Me Kat</t>
  </si>
  <si>
    <t>Chivalry</t>
  </si>
  <si>
    <t>Temptation Island</t>
  </si>
  <si>
    <t>Bíó: The Vault</t>
  </si>
  <si>
    <t>Bíó: Nope</t>
  </si>
  <si>
    <t>Bíó: Dear Evan Hansen</t>
  </si>
  <si>
    <t>Bíó: True History of the Kelly Gang</t>
  </si>
  <si>
    <t>Parental Guidance</t>
  </si>
  <si>
    <t>Bíó: Elizabeth</t>
  </si>
  <si>
    <t>Bíó: Green Zone</t>
  </si>
  <si>
    <t>Bíó: Uncharted</t>
  </si>
  <si>
    <t>Bíó: Old Henry</t>
  </si>
  <si>
    <t>Bíó: Spider-Man: No Way Home</t>
  </si>
  <si>
    <t>Bíó: The Sandhamn Murders</t>
  </si>
  <si>
    <t>The Dog House</t>
  </si>
  <si>
    <t>First Dates</t>
  </si>
  <si>
    <t>Bíó: Infinite Storm</t>
  </si>
  <si>
    <t>Bíó: Elizabeth: The Golden Age</t>
  </si>
  <si>
    <t>Bíó: X</t>
  </si>
  <si>
    <t>Bíó: Juno</t>
  </si>
  <si>
    <t>Bíó: Orphan: First Kill</t>
  </si>
  <si>
    <t>Bíó: Chaos Walking</t>
  </si>
  <si>
    <t>Friends</t>
  </si>
  <si>
    <t>Jagarna</t>
  </si>
  <si>
    <t>Kviss</t>
  </si>
  <si>
    <t>LXS</t>
  </si>
  <si>
    <t>Rainn Wilson and the Geography of Bliss</t>
  </si>
  <si>
    <t>Fashion House</t>
  </si>
  <si>
    <t>Útlit</t>
  </si>
  <si>
    <t>Made of Money with Brian Cox</t>
  </si>
  <si>
    <t>Lego Masters</t>
  </si>
  <si>
    <t>Based on a True Story</t>
  </si>
  <si>
    <t>Bíó: Fear of Rain</t>
  </si>
  <si>
    <t>Bíó: Mrs. Harris Goes to Paris</t>
  </si>
  <si>
    <t>The Lovers</t>
  </si>
  <si>
    <t>United States of Al</t>
  </si>
  <si>
    <t>Bíó: Despicable Me II</t>
  </si>
  <si>
    <t>Hliðarlínan</t>
  </si>
  <si>
    <t>Bupkis</t>
  </si>
  <si>
    <t>Masterchef</t>
  </si>
  <si>
    <t>Bíó: Firestarter</t>
  </si>
  <si>
    <t>Bíó: I Care a Lot</t>
  </si>
  <si>
    <t>Bíó: The More You Ignore Me</t>
  </si>
  <si>
    <t>Bíó: Morbius</t>
  </si>
  <si>
    <t>Bíó: Burn After Reading</t>
  </si>
  <si>
    <t>Svo lengi sem við lifum</t>
  </si>
  <si>
    <t>The Summit</t>
  </si>
  <si>
    <t>The Cleaner</t>
  </si>
  <si>
    <t>Bíó: Boarding School</t>
  </si>
  <si>
    <t>Bíó: Blithe Spirit</t>
  </si>
  <si>
    <t>Bíó: The Black Phone</t>
  </si>
  <si>
    <t>Bíó: Color Out of Space</t>
  </si>
  <si>
    <t>Grantchester</t>
  </si>
  <si>
    <t>The Gentle Art of Swedish Death Cleaning</t>
  </si>
  <si>
    <t>Sullivan's Crossing</t>
  </si>
  <si>
    <t>Magnum P.I.</t>
  </si>
  <si>
    <t>Bíó: Willy's Wonderland</t>
  </si>
  <si>
    <t>Bíó: Halloween Kills</t>
  </si>
  <si>
    <t>Bíó: M3gan</t>
  </si>
  <si>
    <t>Bíó: Antebellum</t>
  </si>
  <si>
    <t>Bíó: Latte &amp; the Magic Waterstone</t>
  </si>
  <si>
    <t>Bíó: The Show</t>
  </si>
  <si>
    <t>Bíó: Beetlejuice</t>
  </si>
  <si>
    <t>Bíó: Halloween Ends</t>
  </si>
  <si>
    <t>Bíó: Ghostbusters: Afterlife</t>
  </si>
  <si>
    <t>Kviss inní</t>
  </si>
  <si>
    <t>Masters of Sex e.</t>
  </si>
  <si>
    <t>60 Minutes e.</t>
  </si>
  <si>
    <t>The Gymnasts e.</t>
  </si>
  <si>
    <t>Minx e.</t>
  </si>
  <si>
    <t>Jagarna e.</t>
  </si>
  <si>
    <t>Sullivan's Crossing e.</t>
  </si>
  <si>
    <t>The Lovers e.</t>
  </si>
  <si>
    <t>LXS e.</t>
  </si>
  <si>
    <t>Magpie Murders e.</t>
  </si>
  <si>
    <t>The Singles Table e.</t>
  </si>
  <si>
    <t>Dr. Death e.</t>
  </si>
  <si>
    <t>Temptation Island e.</t>
  </si>
  <si>
    <t>American Horror Story e.</t>
  </si>
  <si>
    <t>The Ex-Wife e.</t>
  </si>
  <si>
    <t>Chapelwaite e.</t>
  </si>
  <si>
    <t>The Pact e.</t>
  </si>
  <si>
    <t>The Tudors e.</t>
  </si>
  <si>
    <t>Chivalry e.</t>
  </si>
  <si>
    <t>SurrealEstate e.</t>
  </si>
  <si>
    <t>Black Snow e.</t>
  </si>
  <si>
    <t>The Sinner e.</t>
  </si>
  <si>
    <t>20% álag er á inn í hólfið fyrir Kviss.</t>
  </si>
  <si>
    <t>Bíó: The 355</t>
  </si>
  <si>
    <t>Neighbours</t>
  </si>
  <si>
    <t>The Traitors</t>
  </si>
  <si>
    <t>Bíó: Venom: Let There Be Carnage</t>
  </si>
  <si>
    <t>Dreamland</t>
  </si>
  <si>
    <t>Bíó: House Next Door, The: Meet the Blacks</t>
  </si>
  <si>
    <t>Screw e.</t>
  </si>
  <si>
    <t>Fashion House e.</t>
  </si>
  <si>
    <t>Vampire Academy e.</t>
  </si>
  <si>
    <t>The Traitors e.</t>
  </si>
  <si>
    <t>Dreamland e.</t>
  </si>
  <si>
    <t>Bíó: Cocaine Bear</t>
  </si>
  <si>
    <t>Grand Designs</t>
  </si>
  <si>
    <t>Bíó: Harry Potter and the Chamber of Secrets</t>
  </si>
  <si>
    <t>Bíó: Harry Potter and the Prisoner of Azkaban</t>
  </si>
  <si>
    <t>Bíó: Accident Man: Hitman's Holiday</t>
  </si>
  <si>
    <t>Bíó: The Comeback Trail</t>
  </si>
  <si>
    <t>Domina</t>
  </si>
  <si>
    <t>SAS: Rogue Heroes</t>
  </si>
  <si>
    <t>Jamie's One Pan at Christmas</t>
  </si>
  <si>
    <t>The Big Interiors Battle</t>
  </si>
  <si>
    <t>Bíó: Harry Potter and the Goblet of Fire</t>
  </si>
  <si>
    <t>Bíó: Love Actually</t>
  </si>
  <si>
    <t>Bíó: Beast</t>
  </si>
  <si>
    <t>Motherland</t>
  </si>
  <si>
    <t>Bíó: A Holiday Spectacular</t>
  </si>
  <si>
    <t>Grantchester e.</t>
  </si>
  <si>
    <t>SAS: Rogue Heroes e.</t>
  </si>
  <si>
    <t>Pallborðið</t>
  </si>
  <si>
    <t>Mamma mín, geðsjúklingurinn</t>
  </si>
  <si>
    <t>Bíó: Disturbing the Peace</t>
  </si>
  <si>
    <t>The Graham Norton Show</t>
  </si>
  <si>
    <t>Sambúðin</t>
  </si>
  <si>
    <t>Bíó: Harry Potter and the Philosopher's Stone</t>
  </si>
  <si>
    <t>Bíó: Dr. Bird's Advice for Sad Poets</t>
  </si>
  <si>
    <t>Bíó: Youth in Revolt</t>
  </si>
  <si>
    <t>Bíó: Premonition</t>
  </si>
  <si>
    <t>Home Economics</t>
  </si>
  <si>
    <t>Bíó: Best Sellers</t>
  </si>
  <si>
    <t>Bíó: The Boat That Rocked</t>
  </si>
  <si>
    <t>Bíó: The Electrical Life of Louis Wain</t>
  </si>
  <si>
    <t>Bíó: The Legend of Zorro</t>
  </si>
  <si>
    <t>Bíó: The Reader</t>
  </si>
  <si>
    <t>Bíó: Fatman</t>
  </si>
  <si>
    <t>La Brea e.</t>
  </si>
  <si>
    <t>Svo lengi sem við lifum e.</t>
  </si>
  <si>
    <t>Chucky e.</t>
  </si>
  <si>
    <t>Silent Witness e.</t>
  </si>
  <si>
    <t>Sambúðin e.</t>
  </si>
  <si>
    <t>Idol fyrir</t>
  </si>
  <si>
    <t>Idol eftir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</si>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</sst>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ddd\ d/\ mmm/\ yyyy"/>
    <numFmt numFmtId="165" formatCode="#,##0\ &quot;kr.&quot;"/>
    <numFmt numFmtId="166" formatCode="0.0"/>
    <numFmt numFmtId="167" formatCode="ddd\ d\/m"/>
    <numFmt numFmtId="168" formatCode="0\ &quot;sek&quot;"/>
    <numFmt numFmtId="169" formatCode="0\ &quot;sek.&quot;"/>
    <numFmt numFmtId="170" formatCode="mmmm"/>
    <numFmt numFmtId="171" formatCode="&quot;Ef keyptir eru &quot;0&quot; punktar&quot;"/>
    <numFmt numFmtId="172" formatCode="mmm"/>
    <numFmt numFmtId="173" formatCode="\+0%;\-0%;0%;"/>
    <numFmt numFmtId="174" formatCode="#,##0\ \k\r\."/>
    <numFmt numFmtId="175" formatCode="0.0%"/>
    <numFmt numFmtId="176" formatCode="##,###"/>
    <numFmt numFmtId="177" formatCode="#,##0;\-#,##0;0"/>
    <numFmt numFmtId="178" formatCode="0&quot; GRP&quot;"/>
    <numFmt numFmtId="179" formatCode="#,##0\ &quot;birtingar&quot;"/>
  </numFmts>
  <fonts count="23"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i/>
      <sz val="10"/>
      <color theme="1" tint="0.499984740745262"/>
      <name val="Calibri"/>
      <family val="2"/>
    </font>
  </fonts>
  <fills count="37">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rgb="FF00B050"/>
        <bgColor indexed="64"/>
      </patternFill>
    </fill>
    <fill>
      <patternFill patternType="solid">
        <fgColor rgb="FFB7FFD8"/>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rgb="FFC8EBFC"/>
        <bgColor indexed="64"/>
      </patternFill>
    </fill>
    <fill>
      <patternFill patternType="solid">
        <fgColor rgb="FFC0C0FC"/>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9999"/>
        <bgColor indexed="64"/>
      </patternFill>
    </fill>
    <fill>
      <patternFill patternType="solid">
        <fgColor rgb="FFFF7C80"/>
        <bgColor indexed="64"/>
      </patternFill>
    </fill>
    <fill>
      <patternFill patternType="solid">
        <fgColor rgb="FFE74A39"/>
        <bgColor indexed="64"/>
      </patternFill>
    </fill>
    <fill>
      <gradientFill degree="180">
        <stop position="0">
          <color rgb="FFE74A39"/>
        </stop>
        <stop position="1">
          <color rgb="FFED7669"/>
        </stop>
      </gradientFill>
    </fill>
    <fill>
      <patternFill patternType="solid">
        <fgColor rgb="FF3399FF"/>
        <bgColor indexed="64"/>
      </patternFill>
    </fill>
    <fill>
      <patternFill patternType="solid">
        <fgColor rgb="FFB7DBFF"/>
        <bgColor indexed="64"/>
      </patternFill>
    </fill>
  </fills>
  <borders count="123">
    <border>
      <left/>
      <right/>
      <top/>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4"/>
      </left>
      <right/>
      <top/>
      <bottom/>
      <diagonal/>
    </border>
    <border>
      <left style="thin">
        <color theme="4"/>
      </left>
      <right/>
      <top/>
      <bottom style="thin">
        <color indexed="64"/>
      </bottom>
      <diagonal/>
    </border>
    <border>
      <left/>
      <right/>
      <top/>
      <bottom style="thin">
        <color theme="4"/>
      </bottom>
      <diagonal/>
    </border>
    <border>
      <left/>
      <right/>
      <top style="thin">
        <color theme="4"/>
      </top>
      <bottom/>
      <diagonal/>
    </border>
    <border>
      <left/>
      <right/>
      <top/>
      <bottom style="thin">
        <color theme="0" tint="-0.14996795556505021"/>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theme="0" tint="-0.14996795556505021"/>
      </left>
      <right style="thin">
        <color rgb="FF7030A0"/>
      </right>
      <top style="thin">
        <color rgb="FF7030A0"/>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rgb="FF7030A0"/>
      </top>
      <bottom style="thin">
        <color theme="0" tint="-0.14996795556505021"/>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FF6969"/>
      </left>
      <right/>
      <top style="thin">
        <color rgb="FFFF6969"/>
      </top>
      <bottom style="thin">
        <color theme="0" tint="-0.14996795556505021"/>
      </bottom>
      <diagonal/>
    </border>
    <border>
      <left/>
      <right/>
      <top style="thin">
        <color rgb="FFFF6969"/>
      </top>
      <bottom style="thin">
        <color theme="0" tint="-0.14996795556505021"/>
      </bottom>
      <diagonal/>
    </border>
    <border>
      <left/>
      <right style="thin">
        <color rgb="FFFF6969"/>
      </right>
      <top style="thin">
        <color rgb="FFFF6969"/>
      </top>
      <bottom style="thin">
        <color theme="0" tint="-0.14996795556505021"/>
      </bottom>
      <diagonal/>
    </border>
    <border>
      <left style="thin">
        <color rgb="FFFF6969"/>
      </left>
      <right style="thin">
        <color theme="0" tint="-0.14996795556505021"/>
      </right>
      <top/>
      <bottom style="thin">
        <color theme="0" tint="-0.14996795556505021"/>
      </bottom>
      <diagonal/>
    </border>
    <border>
      <left style="thin">
        <color theme="0" tint="-0.14996795556505021"/>
      </left>
      <right style="thin">
        <color rgb="FFFF6969"/>
      </right>
      <top/>
      <bottom style="thin">
        <color theme="0" tint="-0.14996795556505021"/>
      </bottom>
      <diagonal/>
    </border>
    <border>
      <left style="thin">
        <color rgb="FFFF6969"/>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FF6969"/>
      </right>
      <top style="thin">
        <color theme="0" tint="-0.14996795556505021"/>
      </top>
      <bottom style="thin">
        <color theme="0" tint="-0.14996795556505021"/>
      </bottom>
      <diagonal/>
    </border>
    <border>
      <left style="thin">
        <color rgb="FFFF6969"/>
      </left>
      <right style="thin">
        <color theme="0" tint="-0.14996795556505021"/>
      </right>
      <top style="thin">
        <color theme="0" tint="-0.14996795556505021"/>
      </top>
      <bottom style="thin">
        <color rgb="FFFF6969"/>
      </bottom>
      <diagonal/>
    </border>
    <border>
      <left style="thin">
        <color theme="0" tint="-0.14996795556505021"/>
      </left>
      <right style="thin">
        <color theme="0" tint="-0.14996795556505021"/>
      </right>
      <top style="thin">
        <color theme="0" tint="-0.14996795556505021"/>
      </top>
      <bottom style="thin">
        <color rgb="FFFF6969"/>
      </bottom>
      <diagonal/>
    </border>
    <border>
      <left style="thin">
        <color theme="0" tint="-0.14996795556505021"/>
      </left>
      <right style="thin">
        <color rgb="FFFF6969"/>
      </right>
      <top style="thin">
        <color theme="0" tint="-0.14996795556505021"/>
      </top>
      <bottom style="thin">
        <color rgb="FFFF6969"/>
      </bottom>
      <diagonal/>
    </border>
    <border>
      <left style="thin">
        <color rgb="FFFF6969"/>
      </left>
      <right/>
      <top style="thin">
        <color theme="0" tint="-0.14996795556505021"/>
      </top>
      <bottom style="thin">
        <color theme="0" tint="-0.14996795556505021"/>
      </bottom>
      <diagonal/>
    </border>
    <border>
      <left/>
      <right style="thin">
        <color rgb="FFFF6969"/>
      </right>
      <top style="thin">
        <color theme="0" tint="-0.14996795556505021"/>
      </top>
      <bottom style="thin">
        <color theme="0" tint="-0.14996795556505021"/>
      </bottom>
      <diagonal/>
    </border>
    <border>
      <left style="thin">
        <color rgb="FFFF6969"/>
      </left>
      <right/>
      <top style="thin">
        <color theme="0" tint="-0.14996795556505021"/>
      </top>
      <bottom style="thin">
        <color rgb="FFFF6969"/>
      </bottom>
      <diagonal/>
    </border>
    <border>
      <left/>
      <right style="thin">
        <color rgb="FFFF6969"/>
      </right>
      <top style="thin">
        <color theme="0" tint="-0.14996795556505021"/>
      </top>
      <bottom style="thin">
        <color rgb="FFFF6969"/>
      </bottom>
      <diagonal/>
    </border>
    <border>
      <left style="thin">
        <color rgb="FFE74A39"/>
      </left>
      <right style="thin">
        <color rgb="FFE74A39"/>
      </right>
      <top style="thin">
        <color rgb="FFE74A39"/>
      </top>
      <bottom/>
      <diagonal/>
    </border>
    <border>
      <left style="thin">
        <color rgb="FFE74A39"/>
      </left>
      <right style="thin">
        <color rgb="FFE74A39"/>
      </right>
      <top/>
      <bottom/>
      <diagonal/>
    </border>
    <border>
      <left style="thin">
        <color rgb="FFE74A39"/>
      </left>
      <right style="thin">
        <color rgb="FFE74A39"/>
      </right>
      <top/>
      <bottom style="thin">
        <color rgb="FFE74A39"/>
      </bottom>
      <diagonal/>
    </border>
    <border>
      <left style="thin">
        <color rgb="FFE74A39"/>
      </left>
      <right style="thin">
        <color rgb="FFE74A39"/>
      </right>
      <top style="thin">
        <color rgb="FFE74A39"/>
      </top>
      <bottom style="thin">
        <color rgb="FFE74A39"/>
      </bottom>
      <diagonal/>
    </border>
    <border>
      <left style="thin">
        <color rgb="FFE74A39"/>
      </left>
      <right style="thin">
        <color theme="0" tint="-0.14996795556505021"/>
      </right>
      <top style="thin">
        <color rgb="FFE74A39"/>
      </top>
      <bottom style="thin">
        <color theme="0" tint="-0.14996795556505021"/>
      </bottom>
      <diagonal/>
    </border>
    <border>
      <left style="thin">
        <color theme="0" tint="-0.14996795556505021"/>
      </left>
      <right/>
      <top style="thin">
        <color rgb="FFE74A39"/>
      </top>
      <bottom style="thin">
        <color theme="0" tint="-0.14996795556505021"/>
      </bottom>
      <diagonal/>
    </border>
    <border>
      <left/>
      <right style="thin">
        <color rgb="FFE74A39"/>
      </right>
      <top style="thin">
        <color rgb="FFE74A39"/>
      </top>
      <bottom style="thin">
        <color theme="0" tint="-0.14996795556505021"/>
      </bottom>
      <diagonal/>
    </border>
    <border>
      <left style="thin">
        <color rgb="FFE74A39"/>
      </left>
      <right style="thin">
        <color theme="0" tint="-0.14996795556505021"/>
      </right>
      <top style="thin">
        <color theme="0" tint="-0.14996795556505021"/>
      </top>
      <bottom style="thin">
        <color theme="0" tint="-0.14996795556505021"/>
      </bottom>
      <diagonal/>
    </border>
    <border>
      <left/>
      <right style="thin">
        <color rgb="FFE74A39"/>
      </right>
      <top style="thin">
        <color theme="0" tint="-0.14996795556505021"/>
      </top>
      <bottom style="thin">
        <color theme="0" tint="-0.14996795556505021"/>
      </bottom>
      <diagonal/>
    </border>
    <border>
      <left style="thin">
        <color rgb="FFE74A39"/>
      </left>
      <right style="thin">
        <color theme="0" tint="-0.14996795556505021"/>
      </right>
      <top style="thin">
        <color theme="0" tint="-0.14996795556505021"/>
      </top>
      <bottom style="thin">
        <color rgb="FFE74A39"/>
      </bottom>
      <diagonal/>
    </border>
    <border>
      <left style="thin">
        <color theme="0" tint="-0.14996795556505021"/>
      </left>
      <right/>
      <top style="thin">
        <color theme="0" tint="-0.14996795556505021"/>
      </top>
      <bottom style="thin">
        <color rgb="FFE74A39"/>
      </bottom>
      <diagonal/>
    </border>
    <border>
      <left/>
      <right style="thin">
        <color rgb="FFE74A39"/>
      </right>
      <top style="thin">
        <color theme="0" tint="-0.14996795556505021"/>
      </top>
      <bottom style="thin">
        <color rgb="FFE74A39"/>
      </bottom>
      <diagonal/>
    </border>
    <border>
      <left style="thin">
        <color rgb="FFE74A39"/>
      </left>
      <right/>
      <top style="thin">
        <color rgb="FFE74A39"/>
      </top>
      <bottom style="thin">
        <color rgb="FFE74A39"/>
      </bottom>
      <diagonal/>
    </border>
    <border>
      <left/>
      <right style="thin">
        <color rgb="FFE74A39"/>
      </right>
      <top style="thin">
        <color rgb="FFE74A39"/>
      </top>
      <bottom style="thin">
        <color rgb="FFE74A39"/>
      </bottom>
      <diagonal/>
    </border>
    <border>
      <left/>
      <right/>
      <top style="thin">
        <color rgb="FFE74A39"/>
      </top>
      <bottom style="thin">
        <color rgb="FFE74A39"/>
      </bottom>
      <diagonal/>
    </border>
    <border>
      <left style="thin">
        <color rgb="FF3399FF"/>
      </left>
      <right/>
      <top style="thin">
        <color rgb="FF3399FF"/>
      </top>
      <bottom style="thin">
        <color theme="0" tint="-0.14996795556505021"/>
      </bottom>
      <diagonal/>
    </border>
    <border>
      <left/>
      <right/>
      <top style="thin">
        <color rgb="FF3399FF"/>
      </top>
      <bottom style="thin">
        <color theme="0" tint="-0.14996795556505021"/>
      </bottom>
      <diagonal/>
    </border>
    <border>
      <left/>
      <right style="thin">
        <color rgb="FF3399FF"/>
      </right>
      <top style="thin">
        <color rgb="FF3399FF"/>
      </top>
      <bottom style="thin">
        <color theme="0" tint="-0.14996795556505021"/>
      </bottom>
      <diagonal/>
    </border>
    <border>
      <left style="thin">
        <color rgb="FF3399FF"/>
      </left>
      <right/>
      <top/>
      <bottom/>
      <diagonal/>
    </border>
    <border>
      <left/>
      <right style="thin">
        <color rgb="FF3399FF"/>
      </right>
      <top/>
      <bottom/>
      <diagonal/>
    </border>
    <border>
      <left style="thin">
        <color rgb="FF3399FF"/>
      </left>
      <right style="thin">
        <color theme="0" tint="-0.14996795556505021"/>
      </right>
      <top/>
      <bottom style="thin">
        <color theme="0" tint="-0.14996795556505021"/>
      </bottom>
      <diagonal/>
    </border>
    <border>
      <left style="thin">
        <color theme="0" tint="-0.14996795556505021"/>
      </left>
      <right style="thin">
        <color rgb="FF3399FF"/>
      </right>
      <top/>
      <bottom style="thin">
        <color theme="0" tint="-0.14996795556505021"/>
      </bottom>
      <diagonal/>
    </border>
    <border>
      <left style="thin">
        <color rgb="FF3399FF"/>
      </left>
      <right style="thin">
        <color theme="0" tint="-0.14996795556505021"/>
      </right>
      <top style="thin">
        <color theme="0" tint="-0.14996795556505021"/>
      </top>
      <bottom style="thin">
        <color rgb="FF3399FF"/>
      </bottom>
      <diagonal/>
    </border>
    <border>
      <left style="thin">
        <color theme="0" tint="-0.14996795556505021"/>
      </left>
      <right style="thin">
        <color theme="0" tint="-0.14996795556505021"/>
      </right>
      <top style="thin">
        <color theme="0" tint="-0.14996795556505021"/>
      </top>
      <bottom style="thin">
        <color rgb="FF3399FF"/>
      </bottom>
      <diagonal/>
    </border>
    <border>
      <left style="thin">
        <color theme="0" tint="-0.14996795556505021"/>
      </left>
      <right style="thin">
        <color rgb="FF3399FF"/>
      </right>
      <top style="thin">
        <color theme="0" tint="-0.14996795556505021"/>
      </top>
      <bottom style="thin">
        <color rgb="FF3399FF"/>
      </bottom>
      <diagonal/>
    </border>
  </borders>
  <cellStyleXfs count="6">
    <xf numFmtId="0" fontId="0" fillId="0" borderId="0"/>
    <xf numFmtId="9" fontId="10" fillId="0" borderId="0" applyFont="0" applyFill="0" applyBorder="0" applyAlignment="0" applyProtection="0"/>
    <xf numFmtId="0" fontId="5" fillId="0" borderId="0"/>
    <xf numFmtId="0" fontId="4" fillId="0" borderId="0"/>
    <xf numFmtId="0" fontId="2" fillId="0" borderId="0"/>
    <xf numFmtId="9" fontId="2" fillId="0" borderId="0" applyFont="0" applyFill="0" applyBorder="0" applyAlignment="0" applyProtection="0"/>
  </cellStyleXfs>
  <cellXfs count="308">
    <xf numFmtId="0" fontId="0" fillId="0" borderId="0" xfId="0"/>
    <xf numFmtId="0" fontId="0" fillId="0" borderId="0" xfId="0" applyProtection="1">
      <protection hidden="1"/>
    </xf>
    <xf numFmtId="0" fontId="0" fillId="0" borderId="0" xfId="0" applyAlignment="1" applyProtection="1">
      <alignment horizontal="center"/>
      <protection hidden="1"/>
    </xf>
    <xf numFmtId="0" fontId="9" fillId="0" borderId="1" xfId="0" applyFont="1" applyBorder="1" applyProtection="1">
      <protection hidden="1"/>
    </xf>
    <xf numFmtId="165" fontId="0" fillId="0" borderId="0" xfId="0" applyNumberFormat="1" applyProtection="1">
      <protection hidden="1"/>
    </xf>
    <xf numFmtId="0" fontId="9" fillId="0" borderId="1" xfId="0" applyFont="1" applyBorder="1" applyAlignment="1" applyProtection="1">
      <alignment horizontal="center"/>
      <protection hidden="1"/>
    </xf>
    <xf numFmtId="20" fontId="0" fillId="0" borderId="0" xfId="0" applyNumberFormat="1" applyProtection="1">
      <protection hidden="1"/>
    </xf>
    <xf numFmtId="0" fontId="9" fillId="0" borderId="1" xfId="0" applyFont="1" applyBorder="1"/>
    <xf numFmtId="0" fontId="9" fillId="0" borderId="1" xfId="0" applyFont="1" applyBorder="1" applyAlignment="1">
      <alignment horizontal="center"/>
    </xf>
    <xf numFmtId="20" fontId="0" fillId="0" borderId="0" xfId="0" applyNumberFormat="1"/>
    <xf numFmtId="0" fontId="9" fillId="0" borderId="0" xfId="0" applyFont="1"/>
    <xf numFmtId="0" fontId="0" fillId="0" borderId="0" xfId="0" applyAlignment="1" applyProtection="1">
      <alignment vertical="top" wrapText="1"/>
      <protection hidden="1"/>
    </xf>
    <xf numFmtId="0" fontId="7" fillId="11" borderId="0" xfId="0" applyFont="1" applyFill="1" applyProtection="1">
      <protection hidden="1"/>
    </xf>
    <xf numFmtId="0" fontId="8" fillId="11" borderId="0" xfId="0" applyFont="1" applyFill="1" applyAlignment="1" applyProtection="1">
      <alignment horizontal="center"/>
      <protection hidden="1"/>
    </xf>
    <xf numFmtId="0" fontId="8" fillId="11" borderId="0" xfId="0" applyFont="1" applyFill="1" applyAlignment="1" applyProtection="1">
      <alignment vertical="center"/>
      <protection hidden="1"/>
    </xf>
    <xf numFmtId="0" fontId="8" fillId="11" borderId="0" xfId="0" applyFont="1" applyFill="1" applyProtection="1">
      <protection hidden="1"/>
    </xf>
    <xf numFmtId="0" fontId="6" fillId="11" borderId="0" xfId="0" applyFont="1" applyFill="1" applyAlignment="1" applyProtection="1">
      <alignment horizontal="center"/>
      <protection hidden="1"/>
    </xf>
    <xf numFmtId="0" fontId="7" fillId="11" borderId="0" xfId="0" applyFont="1" applyFill="1" applyAlignment="1" applyProtection="1">
      <alignment horizontal="center" vertical="center"/>
      <protection locked="0"/>
    </xf>
    <xf numFmtId="17" fontId="7" fillId="11" borderId="0" xfId="0" applyNumberFormat="1" applyFont="1" applyFill="1" applyProtection="1">
      <protection hidden="1"/>
    </xf>
    <xf numFmtId="0" fontId="12" fillId="0" borderId="6" xfId="0" applyFont="1" applyBorder="1" applyAlignment="1" applyProtection="1">
      <alignment horizontal="center" vertical="center" textRotation="90"/>
      <protection hidden="1"/>
    </xf>
    <xf numFmtId="0" fontId="7" fillId="0" borderId="6" xfId="0" applyFont="1" applyBorder="1" applyAlignment="1" applyProtection="1">
      <alignment horizontal="left"/>
      <protection hidden="1"/>
    </xf>
    <xf numFmtId="0" fontId="0" fillId="11" borderId="0" xfId="0" applyFill="1" applyProtection="1">
      <protection hidden="1"/>
    </xf>
    <xf numFmtId="0" fontId="7" fillId="0" borderId="16" xfId="0" applyFont="1" applyBorder="1" applyAlignment="1" applyProtection="1">
      <alignment horizontal="left"/>
      <protection hidden="1"/>
    </xf>
    <xf numFmtId="3" fontId="0" fillId="0" borderId="0" xfId="0" applyNumberFormat="1" applyProtection="1">
      <protection hidden="1"/>
    </xf>
    <xf numFmtId="0" fontId="9" fillId="13" borderId="0" xfId="0" applyFont="1" applyFill="1" applyAlignment="1">
      <alignment horizontal="center"/>
    </xf>
    <xf numFmtId="0" fontId="0" fillId="14" borderId="0" xfId="0" applyFill="1" applyAlignment="1">
      <alignment horizontal="center"/>
    </xf>
    <xf numFmtId="20" fontId="0" fillId="14" borderId="0" xfId="0" applyNumberFormat="1" applyFill="1" applyAlignment="1">
      <alignment horizontal="center"/>
    </xf>
    <xf numFmtId="0" fontId="9" fillId="14" borderId="0" xfId="0" applyFont="1" applyFill="1" applyAlignment="1">
      <alignment horizontal="center"/>
    </xf>
    <xf numFmtId="167" fontId="0" fillId="14" borderId="0" xfId="0" applyNumberFormat="1" applyFill="1" applyAlignment="1">
      <alignment horizontal="left"/>
    </xf>
    <xf numFmtId="0" fontId="0" fillId="0" borderId="18" xfId="0" applyBorder="1"/>
    <xf numFmtId="0" fontId="0" fillId="15" borderId="0" xfId="0" applyFill="1" applyAlignment="1">
      <alignment horizontal="left"/>
    </xf>
    <xf numFmtId="0" fontId="0" fillId="4" borderId="0" xfId="0" applyFill="1"/>
    <xf numFmtId="0" fontId="0" fillId="16" borderId="0" xfId="0" applyFill="1"/>
    <xf numFmtId="9" fontId="0" fillId="0" borderId="0" xfId="1" applyFont="1" applyProtection="1">
      <protection hidden="1"/>
    </xf>
    <xf numFmtId="0" fontId="0" fillId="0" borderId="0" xfId="0" applyAlignment="1" applyProtection="1">
      <alignment horizontal="left"/>
      <protection hidden="1"/>
    </xf>
    <xf numFmtId="0" fontId="9" fillId="0" borderId="10" xfId="0" applyFont="1" applyBorder="1" applyAlignment="1" applyProtection="1">
      <alignment horizontal="center"/>
      <protection hidden="1"/>
    </xf>
    <xf numFmtId="3" fontId="0" fillId="0" borderId="9"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0" borderId="9" xfId="0" applyNumberFormat="1" applyFill="1" applyBorder="1" applyAlignment="1" applyProtection="1">
      <alignment horizontal="center"/>
      <protection hidden="1"/>
    </xf>
    <xf numFmtId="3" fontId="0" fillId="10" borderId="0" xfId="0" applyNumberFormat="1" applyFill="1" applyAlignment="1" applyProtection="1">
      <alignment horizontal="center"/>
      <protection hidden="1"/>
    </xf>
    <xf numFmtId="3" fontId="0" fillId="10" borderId="0" xfId="0" applyNumberFormat="1" applyFill="1" applyAlignment="1">
      <alignment horizontal="center"/>
    </xf>
    <xf numFmtId="0" fontId="9" fillId="0" borderId="0" xfId="0" applyFont="1" applyProtection="1">
      <protection hidden="1"/>
    </xf>
    <xf numFmtId="165" fontId="0" fillId="0" borderId="0" xfId="0" applyNumberFormat="1" applyAlignment="1" applyProtection="1">
      <alignment shrinkToFit="1"/>
      <protection hidden="1"/>
    </xf>
    <xf numFmtId="0" fontId="0" fillId="0" borderId="0" xfId="0" applyAlignment="1" applyProtection="1">
      <alignment horizontal="left" vertical="top" wrapText="1"/>
      <protection hidden="1"/>
    </xf>
    <xf numFmtId="0" fontId="9" fillId="15" borderId="21" xfId="0" applyFont="1" applyFill="1" applyBorder="1" applyProtection="1">
      <protection hidden="1"/>
    </xf>
    <xf numFmtId="0" fontId="9" fillId="15" borderId="22" xfId="0" applyFont="1" applyFill="1" applyBorder="1" applyProtection="1">
      <protection hidden="1"/>
    </xf>
    <xf numFmtId="0" fontId="0" fillId="2" borderId="0" xfId="0" applyFill="1"/>
    <xf numFmtId="0" fontId="9" fillId="18" borderId="23" xfId="0" applyFont="1" applyFill="1" applyBorder="1" applyProtection="1">
      <protection hidden="1"/>
    </xf>
    <xf numFmtId="167" fontId="0" fillId="0" borderId="0" xfId="0" applyNumberFormat="1" applyAlignment="1">
      <alignment horizontal="left"/>
    </xf>
    <xf numFmtId="9" fontId="0" fillId="0" borderId="0" xfId="1" applyFont="1" applyAlignment="1" applyProtection="1">
      <alignment horizontal="center"/>
      <protection hidden="1"/>
    </xf>
    <xf numFmtId="0" fontId="0" fillId="0" borderId="46" xfId="0" applyBorder="1" applyProtection="1">
      <protection hidden="1"/>
    </xf>
    <xf numFmtId="9" fontId="0" fillId="0" borderId="46" xfId="0" applyNumberFormat="1" applyBorder="1" applyProtection="1">
      <protection hidden="1"/>
    </xf>
    <xf numFmtId="9" fontId="0" fillId="0" borderId="0" xfId="0" applyNumberFormat="1" applyProtection="1">
      <protection hidden="1"/>
    </xf>
    <xf numFmtId="0" fontId="0" fillId="0" borderId="1" xfId="0" applyBorder="1" applyProtection="1">
      <protection hidden="1"/>
    </xf>
    <xf numFmtId="9" fontId="0" fillId="0" borderId="1" xfId="0" applyNumberFormat="1" applyBorder="1" applyProtection="1">
      <protection hidden="1"/>
    </xf>
    <xf numFmtId="0" fontId="0" fillId="0" borderId="18" xfId="0" applyBorder="1" applyProtection="1">
      <protection hidden="1"/>
    </xf>
    <xf numFmtId="9" fontId="0" fillId="0" borderId="18" xfId="0" applyNumberFormat="1" applyBorder="1" applyProtection="1">
      <protection hidden="1"/>
    </xf>
    <xf numFmtId="20" fontId="0" fillId="8" borderId="0" xfId="0" applyNumberFormat="1" applyFill="1"/>
    <xf numFmtId="0" fontId="0" fillId="12" borderId="0" xfId="0" applyFill="1" applyAlignment="1" applyProtection="1">
      <alignment horizontal="left" vertical="top" wrapText="1"/>
      <protection hidden="1"/>
    </xf>
    <xf numFmtId="0" fontId="0" fillId="0" borderId="3" xfId="0" applyBorder="1" applyProtection="1">
      <protection hidden="1"/>
    </xf>
    <xf numFmtId="0" fontId="0" fillId="12" borderId="0" xfId="0" applyFill="1" applyAlignment="1" applyProtection="1">
      <alignment horizontal="center"/>
      <protection hidden="1"/>
    </xf>
    <xf numFmtId="0" fontId="0" fillId="12" borderId="47" xfId="0" applyFill="1" applyBorder="1" applyAlignment="1" applyProtection="1">
      <alignment horizontal="center"/>
      <protection hidden="1"/>
    </xf>
    <xf numFmtId="0" fontId="0" fillId="12" borderId="0" xfId="0" applyFill="1" applyProtection="1">
      <protection hidden="1"/>
    </xf>
    <xf numFmtId="0" fontId="0" fillId="12" borderId="47" xfId="0" applyFill="1" applyBorder="1" applyProtection="1">
      <protection hidden="1"/>
    </xf>
    <xf numFmtId="0" fontId="7" fillId="0" borderId="0" xfId="0" applyFont="1" applyAlignment="1" applyProtection="1">
      <alignment vertical="top" wrapText="1"/>
      <protection hidden="1"/>
    </xf>
    <xf numFmtId="0" fontId="0" fillId="12" borderId="47" xfId="0" applyFill="1" applyBorder="1" applyAlignment="1" applyProtection="1">
      <alignment horizontal="left" vertical="top" wrapText="1"/>
      <protection hidden="1"/>
    </xf>
    <xf numFmtId="0" fontId="0" fillId="12" borderId="19" xfId="0" applyFill="1" applyBorder="1" applyAlignment="1" applyProtection="1">
      <alignment horizontal="center"/>
      <protection hidden="1"/>
    </xf>
    <xf numFmtId="0" fontId="0" fillId="12" borderId="48" xfId="0" applyFill="1" applyBorder="1" applyAlignment="1" applyProtection="1">
      <alignment horizontal="center"/>
      <protection hidden="1"/>
    </xf>
    <xf numFmtId="0" fontId="9" fillId="17" borderId="17" xfId="0" applyFont="1" applyFill="1" applyBorder="1" applyAlignment="1" applyProtection="1">
      <alignment horizontal="center"/>
      <protection hidden="1"/>
    </xf>
    <xf numFmtId="0" fontId="9" fillId="17" borderId="12" xfId="0" applyFont="1" applyFill="1" applyBorder="1" applyAlignment="1" applyProtection="1">
      <alignment horizontal="center"/>
      <protection hidden="1"/>
    </xf>
    <xf numFmtId="0" fontId="0" fillId="12" borderId="2" xfId="0" applyFill="1" applyBorder="1" applyAlignment="1" applyProtection="1">
      <alignment horizontal="center"/>
      <protection hidden="1"/>
    </xf>
    <xf numFmtId="165" fontId="0" fillId="12" borderId="13" xfId="0" applyNumberFormat="1" applyFill="1" applyBorder="1" applyAlignment="1" applyProtection="1">
      <alignment horizontal="center"/>
      <protection hidden="1"/>
    </xf>
    <xf numFmtId="0" fontId="9" fillId="0" borderId="57" xfId="0" applyFont="1" applyBorder="1" applyProtection="1">
      <protection hidden="1"/>
    </xf>
    <xf numFmtId="165" fontId="0" fillId="0" borderId="58" xfId="0" applyNumberFormat="1" applyBorder="1" applyAlignment="1" applyProtection="1">
      <alignment shrinkToFit="1"/>
      <protection hidden="1"/>
    </xf>
    <xf numFmtId="165" fontId="0" fillId="0" borderId="59" xfId="0" applyNumberFormat="1" applyBorder="1" applyAlignment="1" applyProtection="1">
      <alignment shrinkToFit="1"/>
      <protection hidden="1"/>
    </xf>
    <xf numFmtId="0" fontId="8" fillId="11" borderId="0" xfId="0" applyFont="1" applyFill="1" applyAlignment="1" applyProtection="1">
      <alignment horizontal="center" vertical="center"/>
      <protection hidden="1"/>
    </xf>
    <xf numFmtId="172" fontId="0" fillId="0" borderId="0" xfId="0" applyNumberFormat="1"/>
    <xf numFmtId="0" fontId="2" fillId="0" borderId="0" xfId="4"/>
    <xf numFmtId="0" fontId="2" fillId="0" borderId="0" xfId="4" applyAlignment="1">
      <alignment horizontal="center"/>
    </xf>
    <xf numFmtId="176" fontId="2" fillId="0" borderId="0" xfId="4" applyNumberFormat="1" applyAlignment="1">
      <alignment horizontal="center"/>
    </xf>
    <xf numFmtId="175" fontId="0" fillId="0" borderId="0" xfId="5" applyNumberFormat="1" applyFont="1"/>
    <xf numFmtId="177" fontId="2" fillId="0" borderId="8" xfId="4" applyNumberFormat="1" applyBorder="1" applyAlignment="1">
      <alignment horizontal="center"/>
    </xf>
    <xf numFmtId="9" fontId="2" fillId="0" borderId="9" xfId="4" quotePrefix="1" applyNumberFormat="1" applyBorder="1" applyAlignment="1">
      <alignment horizontal="center"/>
    </xf>
    <xf numFmtId="3" fontId="2" fillId="0" borderId="63" xfId="4" applyNumberFormat="1" applyBorder="1" applyAlignment="1">
      <alignment horizontal="center"/>
    </xf>
    <xf numFmtId="3" fontId="2" fillId="0" borderId="0" xfId="4" applyNumberFormat="1" applyAlignment="1">
      <alignment horizontal="center"/>
    </xf>
    <xf numFmtId="3" fontId="2" fillId="0" borderId="9" xfId="4" applyNumberFormat="1" applyBorder="1" applyAlignment="1">
      <alignment horizontal="center"/>
    </xf>
    <xf numFmtId="0" fontId="2" fillId="0" borderId="9" xfId="4" applyBorder="1" applyAlignment="1">
      <alignment horizontal="center"/>
    </xf>
    <xf numFmtId="177" fontId="2" fillId="0" borderId="64" xfId="4" applyNumberFormat="1" applyBorder="1" applyAlignment="1">
      <alignment horizontal="center"/>
    </xf>
    <xf numFmtId="0" fontId="2" fillId="0" borderId="65" xfId="4" applyBorder="1" applyAlignment="1">
      <alignment horizontal="center"/>
    </xf>
    <xf numFmtId="3" fontId="2" fillId="0" borderId="66" xfId="4" applyNumberFormat="1" applyBorder="1" applyAlignment="1">
      <alignment horizontal="center"/>
    </xf>
    <xf numFmtId="3" fontId="2" fillId="0" borderId="18" xfId="4" applyNumberFormat="1" applyBorder="1" applyAlignment="1">
      <alignment horizontal="center"/>
    </xf>
    <xf numFmtId="3" fontId="2" fillId="0" borderId="65" xfId="4" applyNumberFormat="1" applyBorder="1" applyAlignment="1">
      <alignment horizontal="center"/>
    </xf>
    <xf numFmtId="3" fontId="2" fillId="0" borderId="0" xfId="4" applyNumberFormat="1"/>
    <xf numFmtId="0" fontId="2" fillId="0" borderId="65" xfId="4" quotePrefix="1" applyBorder="1" applyAlignment="1">
      <alignment horizontal="center"/>
    </xf>
    <xf numFmtId="176" fontId="15" fillId="27" borderId="11" xfId="4" applyNumberFormat="1" applyFont="1" applyFill="1" applyBorder="1" applyAlignment="1">
      <alignment horizontal="center"/>
    </xf>
    <xf numFmtId="0" fontId="15" fillId="28" borderId="10" xfId="4" applyFont="1" applyFill="1" applyBorder="1" applyAlignment="1">
      <alignment horizontal="center"/>
    </xf>
    <xf numFmtId="176" fontId="15" fillId="0" borderId="67" xfId="4" applyNumberFormat="1" applyFont="1" applyBorder="1" applyAlignment="1">
      <alignment horizontal="center"/>
    </xf>
    <xf numFmtId="176" fontId="15" fillId="27" borderId="1" xfId="4" applyNumberFormat="1" applyFont="1" applyFill="1" applyBorder="1" applyAlignment="1">
      <alignment horizontal="center"/>
    </xf>
    <xf numFmtId="0" fontId="5" fillId="0" borderId="0" xfId="0" applyFont="1" applyProtection="1">
      <protection hidden="1"/>
    </xf>
    <xf numFmtId="0" fontId="5" fillId="0" borderId="0" xfId="0" applyFont="1" applyAlignment="1" applyProtection="1">
      <alignment horizontal="center"/>
      <protection hidden="1"/>
    </xf>
    <xf numFmtId="0" fontId="18" fillId="20" borderId="43" xfId="0" applyFont="1" applyFill="1" applyBorder="1" applyProtection="1">
      <protection hidden="1"/>
    </xf>
    <xf numFmtId="0" fontId="18" fillId="20" borderId="44" xfId="0" applyFont="1" applyFill="1" applyBorder="1" applyProtection="1">
      <protection hidden="1"/>
    </xf>
    <xf numFmtId="0" fontId="5" fillId="20" borderId="44" xfId="0" applyFont="1" applyFill="1" applyBorder="1" applyProtection="1">
      <protection hidden="1"/>
    </xf>
    <xf numFmtId="0" fontId="18" fillId="0" borderId="39" xfId="0" applyFont="1" applyBorder="1" applyAlignment="1" applyProtection="1">
      <alignment horizontal="center"/>
      <protection hidden="1"/>
    </xf>
    <xf numFmtId="0" fontId="18" fillId="0" borderId="36" xfId="0" applyFont="1" applyBorder="1" applyAlignment="1" applyProtection="1">
      <alignment horizontal="center"/>
      <protection hidden="1"/>
    </xf>
    <xf numFmtId="0" fontId="19" fillId="0" borderId="33" xfId="0" applyFont="1" applyBorder="1" applyAlignment="1" applyProtection="1">
      <alignment horizontal="center"/>
      <protection hidden="1"/>
    </xf>
    <xf numFmtId="0" fontId="19" fillId="0" borderId="0" xfId="0" applyFont="1" applyAlignment="1" applyProtection="1">
      <alignment horizontal="center"/>
      <protection hidden="1"/>
    </xf>
    <xf numFmtId="0" fontId="18" fillId="0" borderId="0" xfId="0" applyFont="1" applyAlignment="1" applyProtection="1">
      <alignment horizontal="center"/>
      <protection hidden="1"/>
    </xf>
    <xf numFmtId="0" fontId="19" fillId="0" borderId="34" xfId="0" applyFont="1" applyBorder="1" applyAlignment="1" applyProtection="1">
      <alignment horizontal="center"/>
      <protection hidden="1"/>
    </xf>
    <xf numFmtId="169" fontId="5" fillId="21" borderId="37" xfId="0" applyNumberFormat="1" applyFont="1" applyFill="1" applyBorder="1" applyAlignment="1" applyProtection="1">
      <alignment horizontal="center"/>
      <protection hidden="1"/>
    </xf>
    <xf numFmtId="3" fontId="20" fillId="21" borderId="34" xfId="0" applyNumberFormat="1" applyFont="1" applyFill="1" applyBorder="1" applyAlignment="1" applyProtection="1">
      <alignment horizontal="center"/>
      <protection hidden="1"/>
    </xf>
    <xf numFmtId="3" fontId="20" fillId="21" borderId="0" xfId="0" applyNumberFormat="1" applyFont="1" applyFill="1" applyAlignment="1" applyProtection="1">
      <alignment horizontal="center"/>
      <protection hidden="1"/>
    </xf>
    <xf numFmtId="3" fontId="5" fillId="21" borderId="0" xfId="0" applyNumberFormat="1" applyFont="1" applyFill="1" applyAlignment="1" applyProtection="1">
      <alignment horizontal="center"/>
      <protection hidden="1"/>
    </xf>
    <xf numFmtId="3" fontId="5" fillId="21" borderId="41" xfId="0" applyNumberFormat="1" applyFont="1" applyFill="1" applyBorder="1" applyAlignment="1" applyProtection="1">
      <alignment horizontal="center"/>
      <protection hidden="1"/>
    </xf>
    <xf numFmtId="3" fontId="5" fillId="21" borderId="30" xfId="0" applyNumberFormat="1" applyFont="1" applyFill="1" applyBorder="1" applyAlignment="1" applyProtection="1">
      <alignment horizontal="center"/>
      <protection hidden="1"/>
    </xf>
    <xf numFmtId="169" fontId="5" fillId="0" borderId="37" xfId="0" applyNumberFormat="1" applyFont="1" applyBorder="1" applyAlignment="1" applyProtection="1">
      <alignment horizontal="center"/>
      <protection hidden="1"/>
    </xf>
    <xf numFmtId="3" fontId="20" fillId="0" borderId="34" xfId="0" applyNumberFormat="1" applyFont="1" applyBorder="1" applyAlignment="1" applyProtection="1">
      <alignment horizontal="center"/>
      <protection hidden="1"/>
    </xf>
    <xf numFmtId="3" fontId="20" fillId="0" borderId="0" xfId="0" applyNumberFormat="1" applyFont="1" applyAlignment="1" applyProtection="1">
      <alignment horizontal="center"/>
      <protection hidden="1"/>
    </xf>
    <xf numFmtId="3" fontId="5" fillId="0" borderId="0" xfId="0" applyNumberFormat="1" applyFont="1" applyAlignment="1" applyProtection="1">
      <alignment horizontal="center"/>
      <protection hidden="1"/>
    </xf>
    <xf numFmtId="3" fontId="5" fillId="0" borderId="41" xfId="0" applyNumberFormat="1" applyFont="1" applyBorder="1" applyAlignment="1" applyProtection="1">
      <alignment horizontal="center"/>
      <protection hidden="1"/>
    </xf>
    <xf numFmtId="3" fontId="5" fillId="0" borderId="30" xfId="0" applyNumberFormat="1" applyFont="1" applyBorder="1" applyAlignment="1" applyProtection="1">
      <alignment horizontal="center"/>
      <protection hidden="1"/>
    </xf>
    <xf numFmtId="169" fontId="5" fillId="21" borderId="38" xfId="0" applyNumberFormat="1" applyFont="1" applyFill="1" applyBorder="1" applyAlignment="1" applyProtection="1">
      <alignment horizontal="center"/>
      <protection hidden="1"/>
    </xf>
    <xf numFmtId="3" fontId="20" fillId="21" borderId="35" xfId="0" applyNumberFormat="1" applyFont="1" applyFill="1" applyBorder="1" applyAlignment="1" applyProtection="1">
      <alignment horizontal="center"/>
      <protection hidden="1"/>
    </xf>
    <xf numFmtId="3" fontId="20" fillId="21" borderId="31" xfId="0" applyNumberFormat="1" applyFont="1" applyFill="1" applyBorder="1" applyAlignment="1" applyProtection="1">
      <alignment horizontal="center"/>
      <protection hidden="1"/>
    </xf>
    <xf numFmtId="3" fontId="5" fillId="21" borderId="31" xfId="0" applyNumberFormat="1" applyFont="1" applyFill="1" applyBorder="1" applyAlignment="1" applyProtection="1">
      <alignment horizontal="center"/>
      <protection hidden="1"/>
    </xf>
    <xf numFmtId="3" fontId="5" fillId="21" borderId="42" xfId="0" applyNumberFormat="1" applyFont="1" applyFill="1" applyBorder="1" applyAlignment="1" applyProtection="1">
      <alignment horizontal="center"/>
      <protection hidden="1"/>
    </xf>
    <xf numFmtId="3" fontId="5" fillId="21" borderId="32" xfId="0" applyNumberFormat="1" applyFont="1" applyFill="1" applyBorder="1" applyAlignment="1" applyProtection="1">
      <alignment horizontal="center"/>
      <protection hidden="1"/>
    </xf>
    <xf numFmtId="0" fontId="0" fillId="29" borderId="0" xfId="0" applyFill="1" applyAlignment="1" applyProtection="1">
      <alignment horizontal="left"/>
      <protection hidden="1"/>
    </xf>
    <xf numFmtId="3" fontId="0" fillId="29" borderId="9" xfId="0" applyNumberFormat="1" applyFill="1" applyBorder="1" applyAlignment="1" applyProtection="1">
      <alignment horizontal="center"/>
      <protection hidden="1"/>
    </xf>
    <xf numFmtId="3" fontId="0" fillId="29" borderId="0" xfId="0" applyNumberFormat="1" applyFill="1" applyAlignment="1" applyProtection="1">
      <alignment horizontal="center"/>
      <protection hidden="1"/>
    </xf>
    <xf numFmtId="3" fontId="0" fillId="29" borderId="0" xfId="0" applyNumberFormat="1" applyFill="1" applyAlignment="1">
      <alignment horizontal="center"/>
    </xf>
    <xf numFmtId="0" fontId="0" fillId="15" borderId="76" xfId="0" applyFill="1" applyBorder="1" applyAlignment="1" applyProtection="1">
      <alignment vertical="top" wrapText="1"/>
      <protection hidden="1"/>
    </xf>
    <xf numFmtId="0" fontId="21" fillId="15" borderId="77" xfId="0" applyFont="1" applyFill="1" applyBorder="1" applyAlignment="1" applyProtection="1">
      <alignment vertical="top" wrapText="1"/>
      <protection hidden="1"/>
    </xf>
    <xf numFmtId="20" fontId="7" fillId="0" borderId="6" xfId="0" applyNumberFormat="1" applyFont="1" applyBorder="1" applyAlignment="1" applyProtection="1">
      <alignment horizontal="center" shrinkToFit="1"/>
      <protection hidden="1"/>
    </xf>
    <xf numFmtId="1" fontId="7" fillId="0" borderId="6" xfId="0" applyNumberFormat="1" applyFont="1" applyBorder="1" applyAlignment="1" applyProtection="1">
      <alignment horizontal="center" shrinkToFit="1"/>
      <protection hidden="1"/>
    </xf>
    <xf numFmtId="170" fontId="5" fillId="0" borderId="0" xfId="0" applyNumberFormat="1" applyFont="1" applyAlignment="1" applyProtection="1">
      <alignment horizontal="center"/>
      <protection hidden="1"/>
    </xf>
    <xf numFmtId="170" fontId="4" fillId="26" borderId="61" xfId="3" applyNumberFormat="1" applyFill="1" applyBorder="1" applyAlignment="1" applyProtection="1">
      <alignment horizontal="left" indent="1"/>
      <protection locked="0"/>
    </xf>
    <xf numFmtId="179" fontId="15" fillId="0" borderId="46" xfId="3" applyNumberFormat="1" applyFont="1" applyBorder="1" applyAlignment="1" applyProtection="1">
      <alignment horizontal="center"/>
      <protection hidden="1"/>
    </xf>
    <xf numFmtId="174" fontId="4" fillId="0" borderId="46" xfId="3" applyNumberFormat="1" applyBorder="1" applyAlignment="1" applyProtection="1">
      <alignment horizontal="center"/>
      <protection hidden="1"/>
    </xf>
    <xf numFmtId="0" fontId="4" fillId="0" borderId="0" xfId="3" applyProtection="1">
      <protection hidden="1"/>
    </xf>
    <xf numFmtId="179" fontId="15" fillId="0" borderId="0" xfId="3" applyNumberFormat="1" applyFont="1" applyAlignment="1" applyProtection="1">
      <alignment horizontal="center"/>
      <protection hidden="1"/>
    </xf>
    <xf numFmtId="174" fontId="4" fillId="0" borderId="0" xfId="3" applyNumberFormat="1" applyAlignment="1" applyProtection="1">
      <alignment horizontal="center"/>
      <protection hidden="1"/>
    </xf>
    <xf numFmtId="17" fontId="18" fillId="6" borderId="0" xfId="0" applyNumberFormat="1" applyFont="1" applyFill="1" applyAlignment="1">
      <alignment horizontal="center"/>
    </xf>
    <xf numFmtId="0" fontId="5" fillId="0" borderId="0" xfId="0" applyFont="1"/>
    <xf numFmtId="0" fontId="5" fillId="0" borderId="0" xfId="0" applyFont="1" applyAlignment="1">
      <alignment horizontal="center"/>
    </xf>
    <xf numFmtId="164" fontId="14" fillId="3" borderId="4" xfId="0" applyNumberFormat="1" applyFont="1" applyFill="1" applyBorder="1" applyProtection="1">
      <protection hidden="1"/>
    </xf>
    <xf numFmtId="0" fontId="18" fillId="0" borderId="10" xfId="0" applyFont="1" applyBorder="1" applyAlignment="1">
      <alignment horizontal="center" textRotation="90"/>
    </xf>
    <xf numFmtId="0" fontId="18" fillId="0" borderId="1" xfId="0" applyFont="1" applyBorder="1" applyAlignment="1">
      <alignment horizontal="center" textRotation="90"/>
    </xf>
    <xf numFmtId="0" fontId="18" fillId="0" borderId="11" xfId="0" applyFont="1" applyBorder="1" applyAlignment="1">
      <alignment horizontal="center" textRotation="90"/>
    </xf>
    <xf numFmtId="0" fontId="18" fillId="8" borderId="11" xfId="0" applyFont="1" applyFill="1" applyBorder="1" applyAlignment="1">
      <alignment horizontal="center" textRotation="90"/>
    </xf>
    <xf numFmtId="0" fontId="18" fillId="19" borderId="10" xfId="0" applyFont="1" applyFill="1" applyBorder="1" applyAlignment="1">
      <alignment horizontal="center" textRotation="90"/>
    </xf>
    <xf numFmtId="0" fontId="18" fillId="8" borderId="0" xfId="0" applyFont="1" applyFill="1" applyAlignment="1">
      <alignment horizontal="center" textRotation="90"/>
    </xf>
    <xf numFmtId="0" fontId="18" fillId="19" borderId="0" xfId="0" applyFont="1" applyFill="1" applyAlignment="1">
      <alignment horizontal="center" textRotation="90"/>
    </xf>
    <xf numFmtId="0" fontId="13" fillId="0" borderId="0" xfId="0" applyFont="1" applyAlignment="1" applyProtection="1">
      <alignment horizontal="right"/>
      <protection hidden="1"/>
    </xf>
    <xf numFmtId="166" fontId="5" fillId="0" borderId="9" xfId="0" applyNumberFormat="1" applyFont="1" applyBorder="1" applyAlignment="1">
      <alignment horizontal="center"/>
    </xf>
    <xf numFmtId="166" fontId="5" fillId="0" borderId="0" xfId="0" applyNumberFormat="1" applyFont="1" applyAlignment="1">
      <alignment horizontal="center"/>
    </xf>
    <xf numFmtId="166" fontId="5" fillId="0" borderId="8" xfId="0" applyNumberFormat="1" applyFont="1" applyBorder="1" applyAlignment="1">
      <alignment horizontal="center"/>
    </xf>
    <xf numFmtId="166" fontId="5" fillId="8" borderId="8" xfId="0" applyNumberFormat="1" applyFont="1" applyFill="1" applyBorder="1" applyAlignment="1">
      <alignment horizontal="center"/>
    </xf>
    <xf numFmtId="166" fontId="5" fillId="19" borderId="9" xfId="0" applyNumberFormat="1" applyFont="1" applyFill="1" applyBorder="1" applyAlignment="1">
      <alignment horizontal="center"/>
    </xf>
    <xf numFmtId="9" fontId="5" fillId="0" borderId="0" xfId="1" applyFont="1" applyFill="1" applyBorder="1" applyAlignment="1">
      <alignment horizontal="center"/>
    </xf>
    <xf numFmtId="166" fontId="5" fillId="0" borderId="0" xfId="0" applyNumberFormat="1" applyFont="1" applyAlignment="1">
      <alignment horizontal="left"/>
    </xf>
    <xf numFmtId="0" fontId="5" fillId="0" borderId="0" xfId="0" applyFont="1" applyAlignment="1">
      <alignment horizontal="left"/>
    </xf>
    <xf numFmtId="166" fontId="5" fillId="9" borderId="9" xfId="0" applyNumberFormat="1" applyFont="1" applyFill="1" applyBorder="1" applyAlignment="1">
      <alignment horizontal="center"/>
    </xf>
    <xf numFmtId="166" fontId="5" fillId="7" borderId="0" xfId="0" applyNumberFormat="1" applyFont="1" applyFill="1" applyAlignment="1">
      <alignment horizontal="center"/>
    </xf>
    <xf numFmtId="166" fontId="5" fillId="7" borderId="8" xfId="0" applyNumberFormat="1" applyFont="1" applyFill="1" applyBorder="1" applyAlignment="1">
      <alignment horizontal="center"/>
    </xf>
    <xf numFmtId="166" fontId="5" fillId="7" borderId="9" xfId="0" applyNumberFormat="1" applyFont="1" applyFill="1" applyBorder="1" applyAlignment="1">
      <alignment horizontal="center"/>
    </xf>
    <xf numFmtId="166" fontId="5" fillId="19" borderId="0" xfId="0" applyNumberFormat="1" applyFont="1" applyFill="1" applyAlignment="1">
      <alignment horizontal="center"/>
    </xf>
    <xf numFmtId="0" fontId="5" fillId="14" borderId="0" xfId="0" applyFont="1" applyFill="1" applyAlignment="1">
      <alignment horizontal="center"/>
    </xf>
    <xf numFmtId="1" fontId="5" fillId="0" borderId="0" xfId="0" applyNumberFormat="1" applyFont="1" applyAlignment="1">
      <alignment horizontal="center"/>
    </xf>
    <xf numFmtId="178" fontId="18" fillId="28" borderId="41" xfId="0" applyNumberFormat="1" applyFont="1" applyFill="1" applyBorder="1" applyAlignment="1" applyProtection="1">
      <alignment horizontal="center"/>
      <protection locked="0"/>
    </xf>
    <xf numFmtId="1" fontId="5" fillId="0" borderId="9" xfId="0" applyNumberFormat="1" applyFont="1" applyBorder="1" applyAlignment="1">
      <alignment horizontal="center"/>
    </xf>
    <xf numFmtId="1" fontId="5" fillId="0" borderId="8" xfId="0" applyNumberFormat="1" applyFont="1" applyBorder="1" applyAlignment="1">
      <alignment horizontal="center"/>
    </xf>
    <xf numFmtId="1" fontId="5" fillId="8" borderId="8" xfId="0" applyNumberFormat="1" applyFont="1" applyFill="1" applyBorder="1" applyAlignment="1">
      <alignment horizontal="center"/>
    </xf>
    <xf numFmtId="1" fontId="5" fillId="19" borderId="9" xfId="0" applyNumberFormat="1" applyFont="1" applyFill="1" applyBorder="1" applyAlignment="1">
      <alignment horizontal="center"/>
    </xf>
    <xf numFmtId="3" fontId="5" fillId="0" borderId="0" xfId="0" applyNumberFormat="1" applyFont="1"/>
    <xf numFmtId="178" fontId="18" fillId="23" borderId="30" xfId="0" applyNumberFormat="1" applyFont="1" applyFill="1" applyBorder="1" applyAlignment="1" applyProtection="1">
      <alignment horizontal="center"/>
      <protection locked="0" hidden="1"/>
    </xf>
    <xf numFmtId="0" fontId="8" fillId="24" borderId="53" xfId="0" applyFont="1" applyFill="1" applyBorder="1" applyAlignment="1" applyProtection="1">
      <alignment vertical="top" wrapText="1"/>
      <protection hidden="1"/>
    </xf>
    <xf numFmtId="0" fontId="9" fillId="24" borderId="55" xfId="0" applyFont="1" applyFill="1" applyBorder="1" applyProtection="1">
      <protection hidden="1"/>
    </xf>
    <xf numFmtId="168" fontId="9" fillId="24" borderId="20" xfId="0" applyNumberFormat="1" applyFont="1" applyFill="1" applyBorder="1" applyAlignment="1" applyProtection="1">
      <alignment horizontal="center"/>
      <protection hidden="1"/>
    </xf>
    <xf numFmtId="168" fontId="9" fillId="24" borderId="56" xfId="0" applyNumberFormat="1" applyFont="1" applyFill="1" applyBorder="1" applyAlignment="1" applyProtection="1">
      <alignment horizontal="center"/>
      <protection hidden="1"/>
    </xf>
    <xf numFmtId="0" fontId="0" fillId="30" borderId="0" xfId="0" applyFill="1" applyProtection="1">
      <protection hidden="1"/>
    </xf>
    <xf numFmtId="0" fontId="0" fillId="30" borderId="0" xfId="0" applyFill="1"/>
    <xf numFmtId="0" fontId="9" fillId="30" borderId="0" xfId="0" applyFont="1" applyFill="1" applyProtection="1">
      <protection hidden="1"/>
    </xf>
    <xf numFmtId="168" fontId="9" fillId="30" borderId="0" xfId="0" applyNumberFormat="1" applyFont="1" applyFill="1" applyAlignment="1" applyProtection="1">
      <alignment horizontal="center"/>
      <protection hidden="1"/>
    </xf>
    <xf numFmtId="165" fontId="0" fillId="30" borderId="0" xfId="0" applyNumberFormat="1" applyFill="1" applyAlignment="1" applyProtection="1">
      <alignment shrinkToFit="1"/>
      <protection hidden="1"/>
    </xf>
    <xf numFmtId="0" fontId="1" fillId="0" borderId="0" xfId="3" applyFont="1" applyProtection="1">
      <protection hidden="1"/>
    </xf>
    <xf numFmtId="0" fontId="4" fillId="0" borderId="0" xfId="3" applyAlignment="1" applyProtection="1">
      <alignment horizontal="center"/>
      <protection hidden="1"/>
    </xf>
    <xf numFmtId="3" fontId="4" fillId="0" borderId="0" xfId="3" applyNumberFormat="1" applyAlignment="1" applyProtection="1">
      <alignment horizontal="center"/>
      <protection hidden="1"/>
    </xf>
    <xf numFmtId="3" fontId="15" fillId="25" borderId="61" xfId="3" applyNumberFormat="1" applyFont="1" applyFill="1" applyBorder="1" applyAlignment="1" applyProtection="1">
      <alignment horizontal="right" indent="1"/>
      <protection hidden="1"/>
    </xf>
    <xf numFmtId="0" fontId="15" fillId="0" borderId="0" xfId="3" applyFont="1" applyAlignment="1" applyProtection="1">
      <alignment horizontal="center"/>
      <protection hidden="1"/>
    </xf>
    <xf numFmtId="0" fontId="15" fillId="25" borderId="1" xfId="3" applyFont="1" applyFill="1" applyBorder="1" applyAlignment="1" applyProtection="1">
      <alignment horizontal="center"/>
      <protection hidden="1"/>
    </xf>
    <xf numFmtId="3" fontId="15" fillId="25" borderId="1" xfId="3" applyNumberFormat="1" applyFont="1" applyFill="1" applyBorder="1" applyAlignment="1" applyProtection="1">
      <alignment horizontal="center"/>
      <protection hidden="1"/>
    </xf>
    <xf numFmtId="0" fontId="15" fillId="0" borderId="0" xfId="3" applyFont="1" applyProtection="1">
      <protection hidden="1"/>
    </xf>
    <xf numFmtId="173" fontId="4" fillId="0" borderId="0" xfId="1" applyNumberFormat="1" applyFont="1" applyAlignment="1" applyProtection="1">
      <alignment horizontal="center"/>
      <protection hidden="1"/>
    </xf>
    <xf numFmtId="9" fontId="4" fillId="0" borderId="0" xfId="1" applyFont="1" applyProtection="1">
      <protection hidden="1"/>
    </xf>
    <xf numFmtId="165" fontId="0" fillId="0" borderId="83" xfId="0" applyNumberFormat="1" applyBorder="1" applyAlignment="1" applyProtection="1">
      <alignment shrinkToFit="1"/>
      <protection hidden="1"/>
    </xf>
    <xf numFmtId="168" fontId="9" fillId="31" borderId="20" xfId="0" applyNumberFormat="1" applyFont="1" applyFill="1" applyBorder="1" applyAlignment="1" applyProtection="1">
      <alignment horizontal="center"/>
      <protection hidden="1"/>
    </xf>
    <xf numFmtId="0" fontId="9" fillId="31" borderId="87" xfId="0" applyFont="1" applyFill="1" applyBorder="1" applyProtection="1">
      <protection hidden="1"/>
    </xf>
    <xf numFmtId="168" fontId="9" fillId="31" borderId="88" xfId="0" applyNumberFormat="1" applyFont="1" applyFill="1" applyBorder="1" applyAlignment="1" applyProtection="1">
      <alignment horizontal="center"/>
      <protection hidden="1"/>
    </xf>
    <xf numFmtId="0" fontId="9" fillId="0" borderId="89" xfId="0" applyFont="1" applyBorder="1" applyProtection="1">
      <protection hidden="1"/>
    </xf>
    <xf numFmtId="165" fontId="0" fillId="0" borderId="90" xfId="0" applyNumberFormat="1" applyBorder="1" applyAlignment="1" applyProtection="1">
      <alignment shrinkToFit="1"/>
      <protection hidden="1"/>
    </xf>
    <xf numFmtId="0" fontId="9" fillId="0" borderId="91" xfId="0" applyFont="1" applyBorder="1" applyProtection="1">
      <protection hidden="1"/>
    </xf>
    <xf numFmtId="165" fontId="0" fillId="0" borderId="92" xfId="0" applyNumberFormat="1" applyBorder="1" applyAlignment="1" applyProtection="1">
      <alignment shrinkToFit="1"/>
      <protection hidden="1"/>
    </xf>
    <xf numFmtId="165" fontId="0" fillId="0" borderId="93" xfId="0" applyNumberFormat="1" applyBorder="1" applyAlignment="1" applyProtection="1">
      <alignment shrinkToFit="1"/>
      <protection hidden="1"/>
    </xf>
    <xf numFmtId="20" fontId="7" fillId="0" borderId="0" xfId="0" applyNumberFormat="1" applyFont="1" applyAlignment="1" applyProtection="1">
      <alignment horizontal="center" shrinkToFit="1"/>
      <protection hidden="1"/>
    </xf>
    <xf numFmtId="0" fontId="7" fillId="0" borderId="0" xfId="0" applyFont="1" applyAlignment="1" applyProtection="1">
      <alignment horizontal="left"/>
      <protection hidden="1"/>
    </xf>
    <xf numFmtId="1" fontId="7" fillId="0" borderId="0" xfId="0" applyNumberFormat="1" applyFont="1" applyAlignment="1" applyProtection="1">
      <alignment horizontal="center" shrinkToFit="1"/>
      <protection hidden="1"/>
    </xf>
    <xf numFmtId="20" fontId="7" fillId="0" borderId="102" xfId="0" applyNumberFormat="1" applyFont="1" applyBorder="1" applyAlignment="1" applyProtection="1">
      <alignment horizontal="center" shrinkToFit="1"/>
      <protection hidden="1"/>
    </xf>
    <xf numFmtId="0" fontId="7" fillId="0" borderId="103" xfId="0" applyFont="1" applyBorder="1" applyAlignment="1" applyProtection="1">
      <alignment horizontal="left"/>
      <protection hidden="1"/>
    </xf>
    <xf numFmtId="1" fontId="7" fillId="0" borderId="104" xfId="0" applyNumberFormat="1" applyFont="1" applyBorder="1" applyAlignment="1" applyProtection="1">
      <alignment horizontal="center" shrinkToFit="1"/>
      <protection hidden="1"/>
    </xf>
    <xf numFmtId="20" fontId="7" fillId="0" borderId="105" xfId="0" applyNumberFormat="1" applyFont="1" applyBorder="1" applyAlignment="1" applyProtection="1">
      <alignment horizontal="center" shrinkToFit="1"/>
      <protection hidden="1"/>
    </xf>
    <xf numFmtId="1" fontId="7" fillId="0" borderId="106" xfId="0" applyNumberFormat="1" applyFont="1" applyBorder="1" applyAlignment="1" applyProtection="1">
      <alignment horizontal="center" shrinkToFit="1"/>
      <protection hidden="1"/>
    </xf>
    <xf numFmtId="20" fontId="7" fillId="0" borderId="107" xfId="0" applyNumberFormat="1" applyFont="1" applyBorder="1" applyAlignment="1" applyProtection="1">
      <alignment horizontal="center" shrinkToFit="1"/>
      <protection hidden="1"/>
    </xf>
    <xf numFmtId="0" fontId="7" fillId="0" borderId="108" xfId="0" applyFont="1" applyBorder="1" applyAlignment="1" applyProtection="1">
      <alignment horizontal="left"/>
      <protection hidden="1"/>
    </xf>
    <xf numFmtId="1" fontId="7" fillId="0" borderId="109" xfId="0" applyNumberFormat="1" applyFont="1" applyBorder="1" applyAlignment="1" applyProtection="1">
      <alignment horizontal="center" shrinkToFit="1"/>
      <protection hidden="1"/>
    </xf>
    <xf numFmtId="0" fontId="0" fillId="2" borderId="101" xfId="0" applyFill="1" applyBorder="1" applyProtection="1">
      <protection hidden="1"/>
    </xf>
    <xf numFmtId="164" fontId="12" fillId="33" borderId="112" xfId="0" applyNumberFormat="1" applyFont="1" applyFill="1" applyBorder="1" applyAlignment="1" applyProtection="1">
      <alignment horizontal="center"/>
      <protection hidden="1"/>
    </xf>
    <xf numFmtId="164" fontId="12" fillId="33" borderId="111" xfId="0" applyNumberFormat="1" applyFont="1" applyFill="1" applyBorder="1" applyAlignment="1" applyProtection="1">
      <alignment horizontal="center"/>
      <protection hidden="1"/>
    </xf>
    <xf numFmtId="168" fontId="9" fillId="35" borderId="20" xfId="0" applyNumberFormat="1" applyFont="1" applyFill="1" applyBorder="1" applyAlignment="1" applyProtection="1">
      <alignment horizontal="center"/>
      <protection hidden="1"/>
    </xf>
    <xf numFmtId="0" fontId="9" fillId="35" borderId="118" xfId="0" applyFont="1" applyFill="1" applyBorder="1" applyProtection="1">
      <protection hidden="1"/>
    </xf>
    <xf numFmtId="168" fontId="9" fillId="35" borderId="119" xfId="0" applyNumberFormat="1" applyFont="1" applyFill="1" applyBorder="1" applyAlignment="1" applyProtection="1">
      <alignment horizontal="center"/>
      <protection hidden="1"/>
    </xf>
    <xf numFmtId="0" fontId="9" fillId="0" borderId="120" xfId="0" applyFont="1" applyBorder="1" applyProtection="1">
      <protection hidden="1"/>
    </xf>
    <xf numFmtId="165" fontId="0" fillId="0" borderId="121" xfId="0" applyNumberFormat="1" applyBorder="1" applyAlignment="1" applyProtection="1">
      <alignment shrinkToFit="1"/>
      <protection hidden="1"/>
    </xf>
    <xf numFmtId="165" fontId="0" fillId="0" borderId="122" xfId="0" applyNumberFormat="1" applyBorder="1" applyAlignment="1" applyProtection="1">
      <alignment shrinkToFit="1"/>
      <protection hidden="1"/>
    </xf>
    <xf numFmtId="164" fontId="12" fillId="33" borderId="112" xfId="0" applyNumberFormat="1" applyFont="1" applyFill="1" applyBorder="1" applyAlignment="1" applyProtection="1">
      <alignment horizontal="center"/>
      <protection hidden="1"/>
    </xf>
    <xf numFmtId="0" fontId="12" fillId="34" borderId="98" xfId="0" applyFont="1" applyFill="1" applyBorder="1" applyAlignment="1" applyProtection="1">
      <alignment horizontal="center" vertical="center" textRotation="90"/>
      <protection hidden="1"/>
    </xf>
    <xf numFmtId="0" fontId="12" fillId="34" borderId="99" xfId="0" applyFont="1" applyFill="1" applyBorder="1" applyAlignment="1" applyProtection="1">
      <alignment horizontal="center" vertical="center" textRotation="90"/>
      <protection hidden="1"/>
    </xf>
    <xf numFmtId="0" fontId="12" fillId="34" borderId="100" xfId="0" applyFont="1" applyFill="1" applyBorder="1" applyAlignment="1" applyProtection="1">
      <alignment horizontal="center" vertical="center" textRotation="90"/>
      <protection hidden="1"/>
    </xf>
    <xf numFmtId="0" fontId="11" fillId="11" borderId="0" xfId="0" applyFont="1" applyFill="1" applyAlignment="1" applyProtection="1">
      <alignment horizontal="center"/>
      <protection hidden="1"/>
    </xf>
    <xf numFmtId="0" fontId="11" fillId="11" borderId="5" xfId="0" applyFont="1" applyFill="1" applyBorder="1" applyAlignment="1" applyProtection="1">
      <alignment horizontal="center"/>
      <protection hidden="1"/>
    </xf>
    <xf numFmtId="164" fontId="12" fillId="33" borderId="110" xfId="0" applyNumberFormat="1" applyFont="1" applyFill="1" applyBorder="1" applyAlignment="1" applyProtection="1">
      <alignment horizontal="center"/>
      <protection hidden="1"/>
    </xf>
    <xf numFmtId="170" fontId="5" fillId="0" borderId="0" xfId="0" applyNumberFormat="1" applyFont="1" applyAlignment="1" applyProtection="1">
      <alignment horizontal="left"/>
      <protection hidden="1"/>
    </xf>
    <xf numFmtId="171" fontId="18" fillId="0" borderId="7" xfId="0" applyNumberFormat="1" applyFont="1" applyBorder="1" applyAlignment="1" applyProtection="1">
      <alignment horizontal="center"/>
      <protection hidden="1"/>
    </xf>
    <xf numFmtId="171" fontId="18" fillId="0" borderId="40" xfId="0" applyNumberFormat="1" applyFont="1" applyBorder="1" applyAlignment="1" applyProtection="1">
      <alignment horizontal="center"/>
      <protection hidden="1"/>
    </xf>
    <xf numFmtId="0" fontId="18" fillId="22" borderId="44" xfId="0" applyFont="1" applyFill="1" applyBorder="1" applyAlignment="1" applyProtection="1">
      <alignment horizontal="center"/>
      <protection locked="0"/>
    </xf>
    <xf numFmtId="0" fontId="18" fillId="22" borderId="45" xfId="0" applyFont="1" applyFill="1" applyBorder="1" applyAlignment="1" applyProtection="1">
      <alignment horizontal="center"/>
      <protection locked="0"/>
    </xf>
    <xf numFmtId="0" fontId="18" fillId="20" borderId="44" xfId="0" applyFont="1" applyFill="1" applyBorder="1" applyAlignment="1" applyProtection="1">
      <alignment horizontal="center"/>
      <protection hidden="1"/>
    </xf>
    <xf numFmtId="0" fontId="18" fillId="20" borderId="78" xfId="0" applyFont="1" applyFill="1" applyBorder="1" applyAlignment="1" applyProtection="1">
      <alignment horizontal="center"/>
      <protection hidden="1"/>
    </xf>
    <xf numFmtId="0" fontId="18" fillId="20" borderId="80" xfId="0" applyFont="1" applyFill="1" applyBorder="1" applyAlignment="1" applyProtection="1">
      <alignment horizontal="center"/>
      <protection hidden="1"/>
    </xf>
    <xf numFmtId="170" fontId="5" fillId="22" borderId="71" xfId="0" applyNumberFormat="1" applyFont="1" applyFill="1" applyBorder="1" applyAlignment="1" applyProtection="1">
      <alignment horizontal="center"/>
      <protection locked="0"/>
    </xf>
    <xf numFmtId="170" fontId="5" fillId="22" borderId="82" xfId="0" applyNumberFormat="1" applyFont="1" applyFill="1" applyBorder="1" applyAlignment="1" applyProtection="1">
      <alignment horizontal="center"/>
      <protection locked="0"/>
    </xf>
    <xf numFmtId="0" fontId="18" fillId="20" borderId="79" xfId="0" applyFont="1" applyFill="1" applyBorder="1" applyAlignment="1" applyProtection="1">
      <alignment horizontal="center"/>
      <protection hidden="1"/>
    </xf>
    <xf numFmtId="0" fontId="18" fillId="20" borderId="0" xfId="0" applyFont="1" applyFill="1" applyAlignment="1" applyProtection="1">
      <alignment horizontal="center"/>
      <protection hidden="1"/>
    </xf>
    <xf numFmtId="0" fontId="5" fillId="22" borderId="81" xfId="0" applyFont="1" applyFill="1" applyBorder="1" applyAlignment="1" applyProtection="1">
      <alignment horizontal="center"/>
      <protection locked="0"/>
    </xf>
    <xf numFmtId="0" fontId="5" fillId="22" borderId="72" xfId="0" applyFont="1" applyFill="1" applyBorder="1" applyAlignment="1" applyProtection="1">
      <alignment horizontal="center"/>
      <protection locked="0"/>
    </xf>
    <xf numFmtId="171" fontId="18" fillId="0" borderId="68" xfId="0" applyNumberFormat="1" applyFont="1" applyBorder="1" applyAlignment="1" applyProtection="1">
      <alignment horizontal="center"/>
      <protection hidden="1"/>
    </xf>
    <xf numFmtId="171" fontId="18" fillId="0" borderId="69" xfId="0" applyNumberFormat="1" applyFont="1" applyBorder="1" applyAlignment="1" applyProtection="1">
      <alignment horizontal="center"/>
      <protection hidden="1"/>
    </xf>
    <xf numFmtId="171" fontId="18" fillId="0" borderId="70" xfId="0" applyNumberFormat="1" applyFont="1" applyBorder="1" applyAlignment="1" applyProtection="1">
      <alignment horizontal="center"/>
      <protection hidden="1"/>
    </xf>
    <xf numFmtId="0" fontId="22" fillId="0" borderId="0" xfId="3" applyFont="1" applyAlignment="1" applyProtection="1">
      <alignment horizontal="left"/>
      <protection hidden="1"/>
    </xf>
    <xf numFmtId="0" fontId="15" fillId="25" borderId="0" xfId="3" applyFont="1" applyFill="1" applyAlignment="1" applyProtection="1">
      <alignment horizontal="center"/>
      <protection hidden="1"/>
    </xf>
    <xf numFmtId="0" fontId="17" fillId="25" borderId="60" xfId="3" applyFont="1" applyFill="1" applyBorder="1" applyAlignment="1" applyProtection="1">
      <alignment horizontal="center" vertical="center" wrapText="1"/>
      <protection hidden="1"/>
    </xf>
    <xf numFmtId="0" fontId="17" fillId="25" borderId="0" xfId="3" applyFont="1" applyFill="1" applyAlignment="1" applyProtection="1">
      <alignment horizontal="center" vertical="center" wrapText="1"/>
      <protection hidden="1"/>
    </xf>
    <xf numFmtId="3" fontId="16" fillId="0" borderId="0" xfId="3" applyNumberFormat="1" applyFont="1" applyAlignment="1" applyProtection="1">
      <alignment horizontal="left"/>
      <protection hidden="1"/>
    </xf>
    <xf numFmtId="0" fontId="2" fillId="26" borderId="61" xfId="3" applyFont="1" applyFill="1" applyBorder="1" applyAlignment="1" applyProtection="1">
      <alignment horizontal="left" vertical="center" wrapText="1"/>
      <protection hidden="1"/>
    </xf>
    <xf numFmtId="0" fontId="3" fillId="26" borderId="61" xfId="3" applyFont="1" applyFill="1" applyBorder="1" applyAlignment="1" applyProtection="1">
      <alignment horizontal="left" vertical="center" wrapText="1"/>
      <protection hidden="1"/>
    </xf>
    <xf numFmtId="0" fontId="0" fillId="26" borderId="61" xfId="0" applyFill="1" applyBorder="1" applyAlignment="1" applyProtection="1">
      <alignment horizontal="left" vertical="center" wrapText="1"/>
      <protection hidden="1"/>
    </xf>
    <xf numFmtId="0" fontId="3" fillId="26" borderId="62" xfId="3" applyFont="1" applyFill="1" applyBorder="1" applyAlignment="1" applyProtection="1">
      <alignment horizontal="left" vertical="center" wrapText="1"/>
      <protection hidden="1"/>
    </xf>
    <xf numFmtId="0" fontId="0" fillId="26" borderId="62" xfId="0" applyFill="1" applyBorder="1" applyAlignment="1" applyProtection="1">
      <alignment horizontal="left" vertical="center" wrapText="1"/>
      <protection hidden="1"/>
    </xf>
    <xf numFmtId="0" fontId="15" fillId="25" borderId="1" xfId="3" applyFont="1" applyFill="1" applyBorder="1" applyAlignment="1" applyProtection="1">
      <alignment horizontal="left"/>
      <protection hidden="1"/>
    </xf>
    <xf numFmtId="0" fontId="15" fillId="0" borderId="9" xfId="4" applyFont="1" applyBorder="1" applyAlignment="1">
      <alignment horizontal="center"/>
    </xf>
    <xf numFmtId="0" fontId="15" fillId="0" borderId="8" xfId="4" applyFont="1" applyBorder="1" applyAlignment="1">
      <alignment horizontal="center"/>
    </xf>
    <xf numFmtId="0" fontId="15" fillId="0" borderId="0" xfId="4" applyFont="1" applyAlignment="1">
      <alignment horizontal="center"/>
    </xf>
    <xf numFmtId="0" fontId="18" fillId="0" borderId="9" xfId="0" applyFont="1" applyBorder="1" applyAlignment="1">
      <alignment horizontal="center"/>
    </xf>
    <xf numFmtId="0" fontId="18" fillId="0" borderId="0" xfId="0" applyFont="1" applyAlignment="1">
      <alignment horizontal="center"/>
    </xf>
    <xf numFmtId="0" fontId="18" fillId="0" borderId="8" xfId="0" applyFont="1" applyBorder="1" applyAlignment="1">
      <alignment horizontal="center"/>
    </xf>
    <xf numFmtId="0" fontId="9" fillId="0" borderId="0" xfId="0" applyFont="1" applyAlignment="1" applyProtection="1">
      <alignment horizontal="center"/>
      <protection hidden="1"/>
    </xf>
    <xf numFmtId="0" fontId="9" fillId="5" borderId="0" xfId="0" applyFont="1" applyFill="1" applyAlignment="1" applyProtection="1">
      <alignment horizontal="center"/>
      <protection hidden="1"/>
    </xf>
    <xf numFmtId="0" fontId="9" fillId="0" borderId="0" xfId="0" applyFont="1" applyAlignment="1">
      <alignment horizontal="center"/>
    </xf>
    <xf numFmtId="0" fontId="9" fillId="3" borderId="0" xfId="0" applyFont="1" applyFill="1" applyAlignment="1">
      <alignment horizontal="center"/>
    </xf>
    <xf numFmtId="0" fontId="0" fillId="23" borderId="53" xfId="0" applyFill="1" applyBorder="1" applyProtection="1">
      <protection hidden="1"/>
    </xf>
    <xf numFmtId="0" fontId="0" fillId="23" borderId="0" xfId="0" applyFill="1" applyProtection="1">
      <protection hidden="1"/>
    </xf>
    <xf numFmtId="0" fontId="0" fillId="23" borderId="54" xfId="0" applyFill="1" applyBorder="1" applyProtection="1">
      <protection hidden="1"/>
    </xf>
    <xf numFmtId="0" fontId="9" fillId="24" borderId="50" xfId="0" applyFont="1" applyFill="1" applyBorder="1" applyAlignment="1" applyProtection="1">
      <alignment horizontal="center"/>
      <protection hidden="1"/>
    </xf>
    <xf numFmtId="0" fontId="9" fillId="24" borderId="51" xfId="0" applyFont="1" applyFill="1" applyBorder="1" applyAlignment="1" applyProtection="1">
      <alignment horizontal="center"/>
      <protection hidden="1"/>
    </xf>
    <xf numFmtId="0" fontId="9" fillId="24" borderId="52" xfId="0" applyFont="1" applyFill="1" applyBorder="1" applyAlignment="1" applyProtection="1">
      <alignment horizontal="center"/>
      <protection hidden="1"/>
    </xf>
    <xf numFmtId="0" fontId="0" fillId="17" borderId="49" xfId="0" applyFill="1" applyBorder="1" applyAlignment="1" applyProtection="1">
      <alignment horizontal="left" vertical="top" wrapText="1"/>
      <protection hidden="1"/>
    </xf>
    <xf numFmtId="0" fontId="0" fillId="17" borderId="14" xfId="0" applyFill="1" applyBorder="1" applyAlignment="1" applyProtection="1">
      <alignment horizontal="left" vertical="top" wrapText="1"/>
      <protection hidden="1"/>
    </xf>
    <xf numFmtId="0" fontId="0" fillId="17" borderId="15" xfId="0" applyFill="1" applyBorder="1" applyAlignment="1" applyProtection="1">
      <alignment horizontal="left" vertical="top" wrapText="1"/>
      <protection hidden="1"/>
    </xf>
    <xf numFmtId="0" fontId="9" fillId="32" borderId="84" xfId="0" applyFont="1" applyFill="1" applyBorder="1" applyAlignment="1" applyProtection="1">
      <alignment horizontal="center"/>
      <protection hidden="1"/>
    </xf>
    <xf numFmtId="0" fontId="9" fillId="32" borderId="86" xfId="0" applyFont="1" applyFill="1" applyBorder="1" applyAlignment="1" applyProtection="1">
      <alignment horizontal="center"/>
      <protection hidden="1"/>
    </xf>
    <xf numFmtId="168" fontId="0" fillId="30" borderId="94" xfId="0" applyNumberFormat="1" applyFill="1" applyBorder="1" applyAlignment="1" applyProtection="1">
      <alignment horizontal="left" vertical="top" wrapText="1"/>
      <protection hidden="1"/>
    </xf>
    <xf numFmtId="168" fontId="0" fillId="30" borderId="95" xfId="0" applyNumberFormat="1" applyFill="1" applyBorder="1" applyAlignment="1" applyProtection="1">
      <alignment horizontal="left" vertical="top" wrapText="1"/>
      <protection hidden="1"/>
    </xf>
    <xf numFmtId="168" fontId="0" fillId="30" borderId="96" xfId="0" applyNumberFormat="1" applyFill="1" applyBorder="1" applyAlignment="1" applyProtection="1">
      <alignment horizontal="left" vertical="top" wrapText="1"/>
      <protection hidden="1"/>
    </xf>
    <xf numFmtId="168" fontId="0" fillId="30" borderId="97" xfId="0" applyNumberFormat="1" applyFill="1" applyBorder="1" applyAlignment="1" applyProtection="1">
      <alignment horizontal="left" vertical="top" wrapText="1"/>
      <protection hidden="1"/>
    </xf>
    <xf numFmtId="0" fontId="9" fillId="35" borderId="113" xfId="0" applyFont="1" applyFill="1" applyBorder="1" applyAlignment="1" applyProtection="1">
      <alignment horizontal="center"/>
      <protection hidden="1"/>
    </xf>
    <xf numFmtId="0" fontId="9" fillId="35" borderId="114" xfId="0" applyFont="1" applyFill="1" applyBorder="1" applyAlignment="1" applyProtection="1">
      <alignment horizontal="center"/>
      <protection hidden="1"/>
    </xf>
    <xf numFmtId="0" fontId="9" fillId="35" borderId="115" xfId="0" applyFont="1" applyFill="1" applyBorder="1" applyAlignment="1" applyProtection="1">
      <alignment horizontal="center"/>
      <protection hidden="1"/>
    </xf>
    <xf numFmtId="165" fontId="0" fillId="0" borderId="16" xfId="0" applyNumberFormat="1" applyBorder="1" applyAlignment="1" applyProtection="1">
      <alignment horizontal="center"/>
      <protection hidden="1"/>
    </xf>
    <xf numFmtId="165" fontId="0" fillId="0" borderId="2" xfId="0" applyNumberFormat="1" applyBorder="1" applyAlignment="1" applyProtection="1">
      <alignment horizontal="center"/>
      <protection hidden="1"/>
    </xf>
    <xf numFmtId="165" fontId="0" fillId="0" borderId="28" xfId="0" applyNumberFormat="1" applyBorder="1" applyAlignment="1" applyProtection="1">
      <alignment horizontal="center"/>
      <protection hidden="1"/>
    </xf>
    <xf numFmtId="165" fontId="0" fillId="0" borderId="29" xfId="0" applyNumberFormat="1" applyBorder="1" applyAlignment="1" applyProtection="1">
      <alignment horizontal="center"/>
      <protection hidden="1"/>
    </xf>
    <xf numFmtId="0" fontId="0" fillId="15" borderId="73" xfId="0" applyFill="1" applyBorder="1" applyAlignment="1" applyProtection="1">
      <alignment horizontal="left" vertical="top" wrapText="1"/>
      <protection hidden="1"/>
    </xf>
    <xf numFmtId="0" fontId="0" fillId="15" borderId="74" xfId="0" applyFill="1" applyBorder="1" applyAlignment="1" applyProtection="1">
      <alignment horizontal="left" vertical="top" wrapText="1"/>
      <protection hidden="1"/>
    </xf>
    <xf numFmtId="0" fontId="0" fillId="15" borderId="24" xfId="0" applyFill="1" applyBorder="1" applyAlignment="1" applyProtection="1">
      <alignment horizontal="left" vertical="top" wrapText="1"/>
      <protection hidden="1"/>
    </xf>
    <xf numFmtId="0" fontId="0" fillId="15" borderId="75" xfId="0" applyFill="1" applyBorder="1" applyAlignment="1" applyProtection="1">
      <alignment horizontal="left" vertical="top" wrapText="1"/>
      <protection hidden="1"/>
    </xf>
    <xf numFmtId="0" fontId="0" fillId="15" borderId="76" xfId="0" applyFill="1" applyBorder="1" applyAlignment="1" applyProtection="1">
      <alignment horizontal="left" vertical="top" wrapText="1"/>
      <protection hidden="1"/>
    </xf>
    <xf numFmtId="0" fontId="9" fillId="32" borderId="85" xfId="0" applyFont="1" applyFill="1" applyBorder="1" applyAlignment="1" applyProtection="1">
      <alignment horizontal="center"/>
      <protection hidden="1"/>
    </xf>
    <xf numFmtId="0" fontId="0" fillId="36" borderId="116" xfId="0" applyFill="1" applyBorder="1" applyProtection="1">
      <protection hidden="1"/>
    </xf>
    <xf numFmtId="0" fontId="0" fillId="36" borderId="0" xfId="0" applyFill="1" applyProtection="1">
      <protection hidden="1"/>
    </xf>
    <xf numFmtId="0" fontId="0" fillId="36" borderId="117" xfId="0" applyFill="1" applyBorder="1" applyProtection="1">
      <protection hidden="1"/>
    </xf>
    <xf numFmtId="0" fontId="9" fillId="4" borderId="25" xfId="0" applyFont="1" applyFill="1" applyBorder="1" applyAlignment="1">
      <alignment horizontal="center"/>
    </xf>
    <xf numFmtId="0" fontId="9" fillId="4" borderId="26" xfId="0" applyFont="1" applyFill="1" applyBorder="1" applyAlignment="1">
      <alignment horizontal="center"/>
    </xf>
    <xf numFmtId="0" fontId="9" fillId="4" borderId="27" xfId="0" applyFont="1" applyFill="1" applyBorder="1" applyAlignment="1">
      <alignment horizontal="center"/>
    </xf>
    <xf numFmtId="0" fontId="9" fillId="13" borderId="0" xfId="0" applyFont="1" applyFill="1" applyAlignment="1">
      <alignment horizontal="center"/>
    </xf>
    <xf numFmtId="0" fontId="9" fillId="18" borderId="16" xfId="0" applyFont="1" applyFill="1" applyBorder="1" applyAlignment="1" applyProtection="1">
      <alignment horizontal="center"/>
      <protection hidden="1"/>
    </xf>
    <xf numFmtId="0" fontId="9" fillId="18" borderId="2" xfId="0" applyFont="1" applyFill="1" applyBorder="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21">
    <dxf>
      <border>
        <top style="dashed">
          <color auto="1"/>
        </top>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font>
        <color auto="1"/>
      </font>
      <fill>
        <patternFill>
          <bgColor theme="6" tint="0.39994506668294322"/>
        </patternFill>
      </fill>
    </dxf>
    <dxf>
      <font>
        <strike/>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73E6"/>
      <color rgb="FF3399FF"/>
      <color rgb="FFB7DBFF"/>
      <color rgb="FFE74A39"/>
      <color rgb="FFFABCC3"/>
      <color rgb="FFFF6969"/>
      <color rgb="FFFF7C80"/>
      <color rgb="FFFF9999"/>
      <color rgb="FFFFFF99"/>
      <color rgb="FFFB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7" name="Picture 6">
          <a:extLst>
            <a:ext uri="{FF2B5EF4-FFF2-40B4-BE49-F238E27FC236}">
              <a16:creationId xmlns:a16="http://schemas.microsoft.com/office/drawing/2014/main" id="{A4EEE415-227D-49F0-8F25-18B0D388770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4" name="Picture 3">
              <a:extLst>
                <a:ext uri="{FF2B5EF4-FFF2-40B4-BE49-F238E27FC236}">
                  <a16:creationId xmlns:a16="http://schemas.microsoft.com/office/drawing/2014/main" id="{4E869453-6021-0D30-3479-5C6983F5B8D5}"/>
                </a:ext>
              </a:extLst>
            </xdr:cNvPr>
            <xdr:cNvPicPr>
              <a:picLocks noChangeAspect="1" noChangeArrowheads="1"/>
              <a:extLst>
                <a:ext uri="{84589F7E-364E-4C9E-8A38-B11213B215E9}">
                  <a14:cameraTool cellRange="Verðlyklar!$S$1:$AE$9" spid="_x0000_s462964"/>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10" name="Picture 9">
          <a:extLst>
            <a:ext uri="{FF2B5EF4-FFF2-40B4-BE49-F238E27FC236}">
              <a16:creationId xmlns:a16="http://schemas.microsoft.com/office/drawing/2014/main" id="{353B2527-4000-40EC-B127-0A678B37FA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6F228CAB-52D7-4290-9AE2-F94C8B48E40A}"/>
                </a:ext>
              </a:extLst>
            </xdr:cNvPr>
            <xdr:cNvPicPr>
              <a:picLocks noChangeAspect="1" noChangeArrowheads="1"/>
              <a:extLst>
                <a:ext uri="{84589F7E-364E-4C9E-8A38-B11213B215E9}">
                  <a14:cameraTool cellRange="Verðlyklar!$S$1:$AE$9" spid="_x0000_s391710"/>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10" name="Picture 9">
          <a:extLst>
            <a:ext uri="{FF2B5EF4-FFF2-40B4-BE49-F238E27FC236}">
              <a16:creationId xmlns:a16="http://schemas.microsoft.com/office/drawing/2014/main" id="{131710CA-858C-4DDB-80D8-12D46C7FB0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09C95F10-B5FB-4248-9147-85881E34CDEB}"/>
                </a:ext>
              </a:extLst>
            </xdr:cNvPr>
            <xdr:cNvPicPr>
              <a:picLocks noChangeAspect="1" noChangeArrowheads="1"/>
              <a:extLst>
                <a:ext uri="{84589F7E-364E-4C9E-8A38-B11213B215E9}">
                  <a14:cameraTool cellRange="Verðlyklar!$S$1:$AE$9" spid="_x0000_s393756"/>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10" name="Picture 9">
          <a:extLst>
            <a:ext uri="{FF2B5EF4-FFF2-40B4-BE49-F238E27FC236}">
              <a16:creationId xmlns:a16="http://schemas.microsoft.com/office/drawing/2014/main" id="{15B23EB9-CA80-40B6-B156-ABA65684C3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BFE7D4A5-BFA0-4DC4-ADF7-B375832CFDAD}"/>
                </a:ext>
              </a:extLst>
            </xdr:cNvPr>
            <xdr:cNvPicPr>
              <a:picLocks noChangeAspect="1" noChangeArrowheads="1"/>
              <a:extLst>
                <a:ext uri="{84589F7E-364E-4C9E-8A38-B11213B215E9}">
                  <a14:cameraTool cellRange="Verðlyklar!$S$1:$AE$9" spid="_x0000_s392734"/>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5" name="Picture 4">
          <a:extLst>
            <a:ext uri="{FF2B5EF4-FFF2-40B4-BE49-F238E27FC236}">
              <a16:creationId xmlns:a16="http://schemas.microsoft.com/office/drawing/2014/main" id="{CEC67C2B-22BC-5763-7E1F-CD39FE1E6BA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2" name="Picture 1">
              <a:extLst>
                <a:ext uri="{FF2B5EF4-FFF2-40B4-BE49-F238E27FC236}">
                  <a16:creationId xmlns:a16="http://schemas.microsoft.com/office/drawing/2014/main" id="{D67EA99B-46FF-448D-8662-67B371F3D327}"/>
                </a:ext>
              </a:extLst>
            </xdr:cNvPr>
            <xdr:cNvPicPr>
              <a:picLocks noChangeAspect="1" noChangeArrowheads="1"/>
              <a:extLst>
                <a:ext uri="{84589F7E-364E-4C9E-8A38-B11213B215E9}">
                  <a14:cameraTool cellRange="Verðlyklar!$S$1:$AE$9" spid="_x0000_s381772"/>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5" name="Picture 4">
          <a:extLst>
            <a:ext uri="{FF2B5EF4-FFF2-40B4-BE49-F238E27FC236}">
              <a16:creationId xmlns:a16="http://schemas.microsoft.com/office/drawing/2014/main" id="{28E93217-3907-C64F-42DA-0C76A8DC9F3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2" name="Picture 1">
              <a:extLst>
                <a:ext uri="{FF2B5EF4-FFF2-40B4-BE49-F238E27FC236}">
                  <a16:creationId xmlns:a16="http://schemas.microsoft.com/office/drawing/2014/main" id="{63898AD0-4E17-47B1-A5C0-727B909AE829}"/>
                </a:ext>
              </a:extLst>
            </xdr:cNvPr>
            <xdr:cNvPicPr>
              <a:picLocks noChangeAspect="1" noChangeArrowheads="1"/>
              <a:extLst>
                <a:ext uri="{84589F7E-364E-4C9E-8A38-B11213B215E9}">
                  <a14:cameraTool cellRange="Verðlyklar!$S$1:$AE$9" spid="_x0000_s382796"/>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9" name="Picture 8">
          <a:extLst>
            <a:ext uri="{FF2B5EF4-FFF2-40B4-BE49-F238E27FC236}">
              <a16:creationId xmlns:a16="http://schemas.microsoft.com/office/drawing/2014/main" id="{439364CA-F5E7-4A6A-9808-2205C2AF3DF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70C14634-685D-4E93-9C0B-EB13E976ADCD}"/>
                </a:ext>
              </a:extLst>
            </xdr:cNvPr>
            <xdr:cNvPicPr>
              <a:picLocks noChangeAspect="1" noChangeArrowheads="1"/>
              <a:extLst>
                <a:ext uri="{84589F7E-364E-4C9E-8A38-B11213B215E9}">
                  <a14:cameraTool cellRange="Verðlyklar!$S$1:$AE$9" spid="_x0000_s463984"/>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9" name="Picture 8">
          <a:extLst>
            <a:ext uri="{FF2B5EF4-FFF2-40B4-BE49-F238E27FC236}">
              <a16:creationId xmlns:a16="http://schemas.microsoft.com/office/drawing/2014/main" id="{7262AD6E-D450-49BB-960D-8C95A2BE79C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3ED0F522-C03D-4524-919F-F452911E8F41}"/>
                </a:ext>
              </a:extLst>
            </xdr:cNvPr>
            <xdr:cNvPicPr>
              <a:picLocks noChangeAspect="1" noChangeArrowheads="1"/>
              <a:extLst>
                <a:ext uri="{84589F7E-364E-4C9E-8A38-B11213B215E9}">
                  <a14:cameraTool cellRange="Verðlyklar!$S$1:$AE$9" spid="_x0000_s440449"/>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9" name="Picture 8">
          <a:extLst>
            <a:ext uri="{FF2B5EF4-FFF2-40B4-BE49-F238E27FC236}">
              <a16:creationId xmlns:a16="http://schemas.microsoft.com/office/drawing/2014/main" id="{FFB3D9B0-4932-45D7-BE04-1B00DBB67CA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F957CC51-4ECF-437C-8453-229BE5691FB6}"/>
                </a:ext>
              </a:extLst>
            </xdr:cNvPr>
            <xdr:cNvPicPr>
              <a:picLocks noChangeAspect="1" noChangeArrowheads="1"/>
              <a:extLst>
                <a:ext uri="{84589F7E-364E-4C9E-8A38-B11213B215E9}">
                  <a14:cameraTool cellRange="Verðlyklar!$S$1:$AE$9" spid="_x0000_s441469"/>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10" name="Picture 9">
          <a:extLst>
            <a:ext uri="{FF2B5EF4-FFF2-40B4-BE49-F238E27FC236}">
              <a16:creationId xmlns:a16="http://schemas.microsoft.com/office/drawing/2014/main" id="{64727931-8A79-4E31-89E6-44BB53EA1F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183A6305-B928-4E3A-8C3D-F607D7531190}"/>
                </a:ext>
              </a:extLst>
            </xdr:cNvPr>
            <xdr:cNvPicPr>
              <a:picLocks noChangeAspect="1" noChangeArrowheads="1"/>
              <a:extLst>
                <a:ext uri="{84589F7E-364E-4C9E-8A38-B11213B215E9}">
                  <a14:cameraTool cellRange="Verðlyklar!$S$1:$AE$9" spid="_x0000_s442490"/>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13" name="Picture 12">
          <a:extLst>
            <a:ext uri="{FF2B5EF4-FFF2-40B4-BE49-F238E27FC236}">
              <a16:creationId xmlns:a16="http://schemas.microsoft.com/office/drawing/2014/main" id="{E8BDDF83-95D1-4ECE-8178-0A593905A39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BB64D234-2086-4421-8DB5-6E57339C7D1A}"/>
                </a:ext>
              </a:extLst>
            </xdr:cNvPr>
            <xdr:cNvPicPr>
              <a:picLocks noChangeAspect="1" noChangeArrowheads="1"/>
              <a:extLst>
                <a:ext uri="{84589F7E-364E-4C9E-8A38-B11213B215E9}">
                  <a14:cameraTool cellRange="Verðlyklar!$S$1:$AE$9" spid="_x0000_s487525"/>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9" name="Picture 8">
          <a:extLst>
            <a:ext uri="{FF2B5EF4-FFF2-40B4-BE49-F238E27FC236}">
              <a16:creationId xmlns:a16="http://schemas.microsoft.com/office/drawing/2014/main" id="{5C535111-16A7-4574-A87F-E7FEB9CADD5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E0F9CD5D-0156-4835-8CC3-4613C0EC036B}"/>
                </a:ext>
              </a:extLst>
            </xdr:cNvPr>
            <xdr:cNvPicPr>
              <a:picLocks noChangeAspect="1" noChangeArrowheads="1"/>
              <a:extLst>
                <a:ext uri="{84589F7E-364E-4C9E-8A38-B11213B215E9}">
                  <a14:cameraTool cellRange="Verðlyklar!$S$1:$AE$9" spid="_x0000_s422065"/>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9" name="Picture 8">
          <a:extLst>
            <a:ext uri="{FF2B5EF4-FFF2-40B4-BE49-F238E27FC236}">
              <a16:creationId xmlns:a16="http://schemas.microsoft.com/office/drawing/2014/main" id="{4FCBFB15-7271-4B5D-BFB0-01EB4753D0D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F2E000F6-317C-4484-96A7-2FA75578DFAD}"/>
                </a:ext>
              </a:extLst>
            </xdr:cNvPr>
            <xdr:cNvPicPr>
              <a:picLocks noChangeAspect="1" noChangeArrowheads="1"/>
              <a:extLst>
                <a:ext uri="{84589F7E-364E-4C9E-8A38-B11213B215E9}">
                  <a14:cameraTool cellRange="Verðlyklar!$S$1:$AE$9" spid="_x0000_s423082"/>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759752</xdr:colOff>
      <xdr:row>3</xdr:row>
      <xdr:rowOff>0</xdr:rowOff>
    </xdr:to>
    <xdr:pic>
      <xdr:nvPicPr>
        <xdr:cNvPr id="9" name="Picture 8">
          <a:extLst>
            <a:ext uri="{FF2B5EF4-FFF2-40B4-BE49-F238E27FC236}">
              <a16:creationId xmlns:a16="http://schemas.microsoft.com/office/drawing/2014/main" id="{FA7766D7-3388-4621-9F8A-23F663384D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35" t="7011" r="7841" b="7011"/>
        <a:stretch/>
      </xdr:blipFill>
      <xdr:spPr>
        <a:xfrm>
          <a:off x="523875" y="0"/>
          <a:ext cx="759752" cy="428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10</xdr:col>
          <xdr:colOff>66675</xdr:colOff>
          <xdr:row>30</xdr:row>
          <xdr:rowOff>9525</xdr:rowOff>
        </xdr:to>
        <xdr:pic>
          <xdr:nvPicPr>
            <xdr:cNvPr id="3" name="Picture 2">
              <a:extLst>
                <a:ext uri="{FF2B5EF4-FFF2-40B4-BE49-F238E27FC236}">
                  <a16:creationId xmlns:a16="http://schemas.microsoft.com/office/drawing/2014/main" id="{A914D35D-F825-4B01-8C4F-F91ECBCA49D7}"/>
                </a:ext>
              </a:extLst>
            </xdr:cNvPr>
            <xdr:cNvPicPr>
              <a:picLocks noChangeAspect="1" noChangeArrowheads="1"/>
              <a:extLst>
                <a:ext uri="{84589F7E-364E-4C9E-8A38-B11213B215E9}">
                  <a14:cameraTool cellRange="Verðlyklar!$S$1:$AE$9" spid="_x0000_s405864"/>
                </a:ext>
              </a:extLst>
            </xdr:cNvPicPr>
          </xdr:nvPicPr>
          <xdr:blipFill>
            <a:blip xmlns:r="http://schemas.openxmlformats.org/officeDocument/2006/relationships" r:embed="rId2"/>
            <a:srcRect/>
            <a:stretch>
              <a:fillRect/>
            </a:stretch>
          </xdr:blipFill>
          <xdr:spPr bwMode="auto">
            <a:xfrm>
              <a:off x="200025" y="3000375"/>
              <a:ext cx="7324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V70"/>
  <sheetViews>
    <sheetView showGridLines="0" showRowColHeaders="0" zoomScaleNormal="100" workbookViewId="0">
      <pane xSplit="1" ySplit="4" topLeftCell="B5" activePane="bottomRight" state="frozen"/>
      <selection activeCell="O17" sqref="O17"/>
      <selection pane="topRight" activeCell="O17" sqref="O17"/>
      <selection pane="bottomLeft" activeCell="O17" sqref="O17"/>
      <selection pane="bottomRight" activeCell="O17" sqref="O17"/>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s>
  <sheetData>
    <row r="1" spans="1:22"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September 2023 | Vika 36</v>
      </c>
      <c r="H1" s="230"/>
      <c r="I1" s="230"/>
      <c r="J1" s="230"/>
      <c r="K1" s="230"/>
      <c r="L1" s="230"/>
      <c r="M1" s="230"/>
      <c r="N1" s="230"/>
      <c r="O1" s="230"/>
      <c r="P1" s="230"/>
      <c r="Q1" s="230"/>
      <c r="R1" s="230"/>
      <c r="S1" s="230"/>
      <c r="T1" s="21"/>
      <c r="U1" s="77"/>
      <c r="V1" s="14"/>
    </row>
    <row r="2" spans="1:22" ht="11.25" customHeight="1" x14ac:dyDescent="0.2">
      <c r="A2" s="15"/>
      <c r="B2" s="15"/>
      <c r="C2" s="15"/>
      <c r="D2" s="12"/>
      <c r="E2" s="16"/>
      <c r="F2" s="16"/>
      <c r="G2" s="230"/>
      <c r="H2" s="230"/>
      <c r="I2" s="230"/>
      <c r="J2" s="230"/>
      <c r="K2" s="230"/>
      <c r="L2" s="230"/>
      <c r="M2" s="230"/>
      <c r="N2" s="230"/>
      <c r="O2" s="230"/>
      <c r="P2" s="230"/>
      <c r="Q2" s="230"/>
      <c r="R2" s="230"/>
      <c r="S2" s="230"/>
      <c r="T2" s="21"/>
      <c r="U2" s="17"/>
      <c r="V2" s="14"/>
    </row>
    <row r="3" spans="1:22" ht="11.25" customHeight="1" x14ac:dyDescent="0.2">
      <c r="A3" s="15"/>
      <c r="B3" s="15"/>
      <c r="C3" s="15"/>
      <c r="D3" s="18"/>
      <c r="E3" s="12"/>
      <c r="F3" s="13"/>
      <c r="G3" s="231"/>
      <c r="H3" s="231"/>
      <c r="I3" s="231"/>
      <c r="J3" s="231"/>
      <c r="K3" s="231"/>
      <c r="L3" s="231"/>
      <c r="M3" s="231"/>
      <c r="N3" s="231"/>
      <c r="O3" s="231"/>
      <c r="P3" s="231"/>
      <c r="Q3" s="231"/>
      <c r="R3" s="231"/>
      <c r="S3" s="231"/>
      <c r="T3" s="12"/>
      <c r="U3" s="13"/>
      <c r="V3" s="13"/>
    </row>
    <row r="4" spans="1:22" x14ac:dyDescent="0.2">
      <c r="A4" s="217"/>
      <c r="B4" s="232">
        <v>45173</v>
      </c>
      <c r="C4" s="226"/>
      <c r="D4" s="218" t="s">
        <v>44</v>
      </c>
      <c r="E4" s="232">
        <f>B4+1</f>
        <v>45174</v>
      </c>
      <c r="F4" s="226"/>
      <c r="G4" s="219" t="s">
        <v>44</v>
      </c>
      <c r="H4" s="226">
        <f>E4+1</f>
        <v>45175</v>
      </c>
      <c r="I4" s="226"/>
      <c r="J4" s="218" t="s">
        <v>44</v>
      </c>
      <c r="K4" s="232">
        <f>H4+1</f>
        <v>45176</v>
      </c>
      <c r="L4" s="226"/>
      <c r="M4" s="219" t="s">
        <v>44</v>
      </c>
      <c r="N4" s="226">
        <f>K4+1</f>
        <v>45177</v>
      </c>
      <c r="O4" s="226"/>
      <c r="P4" s="218" t="s">
        <v>44</v>
      </c>
      <c r="Q4" s="232">
        <f>N4+1</f>
        <v>45178</v>
      </c>
      <c r="R4" s="226"/>
      <c r="S4" s="219" t="s">
        <v>44</v>
      </c>
      <c r="T4" s="226">
        <f>Q4+1</f>
        <v>45179</v>
      </c>
      <c r="U4" s="226"/>
      <c r="V4" s="219" t="s">
        <v>44</v>
      </c>
    </row>
    <row r="5" spans="1:22" ht="11.25" customHeight="1" x14ac:dyDescent="0.2">
      <c r="A5" s="227" t="s">
        <v>12</v>
      </c>
      <c r="B5" s="209">
        <v>0.75</v>
      </c>
      <c r="C5" s="210" t="s">
        <v>35</v>
      </c>
      <c r="D5" s="211">
        <f>IF(C5="","",IFERROR(VLOOKUP(C5,Punktar!$A:$B,2,0),""))</f>
        <v>1</v>
      </c>
      <c r="E5" s="209">
        <v>0.75</v>
      </c>
      <c r="F5" s="210" t="s">
        <v>35</v>
      </c>
      <c r="G5" s="211">
        <f>IF(F5="","",IFERROR(VLOOKUP(F5,Punktar!$A:$B,2,0),""))</f>
        <v>1</v>
      </c>
      <c r="H5" s="209">
        <v>0.75</v>
      </c>
      <c r="I5" s="210" t="s">
        <v>35</v>
      </c>
      <c r="J5" s="211">
        <f>IF(I5="","",IFERROR(VLOOKUP(I5,Punktar!$A:$B,2,0),""))</f>
        <v>1</v>
      </c>
      <c r="K5" s="209">
        <v>0.75</v>
      </c>
      <c r="L5" s="210" t="s">
        <v>35</v>
      </c>
      <c r="M5" s="211">
        <f>IF(L5="","",IFERROR(VLOOKUP(L5,Punktar!$A:$B,2,0),""))</f>
        <v>1</v>
      </c>
      <c r="N5" s="209">
        <v>0.75</v>
      </c>
      <c r="O5" s="210" t="s">
        <v>35</v>
      </c>
      <c r="P5" s="211">
        <f>IF(O5="","",IFERROR(VLOOKUP(O5,Punktar!$A:$B,2,0),""))</f>
        <v>1</v>
      </c>
      <c r="Q5" s="209">
        <v>0.76736111111111116</v>
      </c>
      <c r="R5" s="210" t="s">
        <v>152</v>
      </c>
      <c r="S5" s="211">
        <f>IF(R5="","",IFERROR(VLOOKUP(R5,Punktar!$A:$B,2,0),""))</f>
        <v>3</v>
      </c>
      <c r="T5" s="209">
        <v>0.73611111111111116</v>
      </c>
      <c r="U5" s="210" t="s">
        <v>98</v>
      </c>
      <c r="V5" s="211">
        <f>IF(U5="","",IFERROR(VLOOKUP(U5,Punktar!$A:$B,2,0),""))</f>
        <v>1</v>
      </c>
    </row>
    <row r="6" spans="1:22" x14ac:dyDescent="0.2">
      <c r="A6" s="228"/>
      <c r="B6" s="212">
        <v>0.76736111111111116</v>
      </c>
      <c r="C6" s="22" t="s">
        <v>152</v>
      </c>
      <c r="D6" s="213">
        <f>IF(C6="","",IFERROR(VLOOKUP(C6,Punktar!$A:$B,2,0),""))</f>
        <v>3</v>
      </c>
      <c r="E6" s="212">
        <v>0.76736111111111116</v>
      </c>
      <c r="F6" s="22" t="s">
        <v>152</v>
      </c>
      <c r="G6" s="213">
        <f>IF(F6="","",IFERROR(VLOOKUP(F6,Punktar!$A:$B,2,0),""))</f>
        <v>3</v>
      </c>
      <c r="H6" s="212">
        <v>0.76736111111111116</v>
      </c>
      <c r="I6" s="22" t="s">
        <v>152</v>
      </c>
      <c r="J6" s="213">
        <f>IF(I6="","",IFERROR(VLOOKUP(I6,Punktar!$A:$B,2,0),""))</f>
        <v>3</v>
      </c>
      <c r="K6" s="212">
        <v>0.76736111111111116</v>
      </c>
      <c r="L6" s="22" t="s">
        <v>152</v>
      </c>
      <c r="M6" s="213">
        <f>IF(L6="","",IFERROR(VLOOKUP(L6,Punktar!$A:$B,2,0),""))</f>
        <v>3</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row>
    <row r="7" spans="1:22" x14ac:dyDescent="0.2">
      <c r="A7" s="228"/>
      <c r="B7" s="212">
        <v>0.77083333333333337</v>
      </c>
      <c r="C7" s="22" t="s">
        <v>37</v>
      </c>
      <c r="D7" s="213">
        <f>IF(C7="","",IFERROR(VLOOKUP(C7,Punktar!$A:$B,2,0),""))</f>
        <v>8</v>
      </c>
      <c r="E7" s="212">
        <v>0.77083333333333337</v>
      </c>
      <c r="F7" s="22" t="s">
        <v>37</v>
      </c>
      <c r="G7" s="213">
        <f>IF(F7="","",IFERROR(VLOOKUP(F7,Punktar!$A:$B,2,0),""))</f>
        <v>8</v>
      </c>
      <c r="H7" s="212">
        <v>0.77083333333333337</v>
      </c>
      <c r="I7" s="22" t="s">
        <v>37</v>
      </c>
      <c r="J7" s="213">
        <f>IF(I7="","",IFERROR(VLOOKUP(I7,Punktar!$A:$B,2,0),""))</f>
        <v>8</v>
      </c>
      <c r="K7" s="212">
        <v>0.77083333333333337</v>
      </c>
      <c r="L7" s="22" t="s">
        <v>37</v>
      </c>
      <c r="M7" s="213">
        <f>IF(L7="","",IFERROR(VLOOKUP(L7,Punktar!$A:$B,2,0),""))</f>
        <v>8</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row>
    <row r="8" spans="1:22" x14ac:dyDescent="0.2">
      <c r="A8" s="228"/>
      <c r="B8" s="212">
        <v>0.78472222222222221</v>
      </c>
      <c r="C8" s="22" t="s">
        <v>36</v>
      </c>
      <c r="D8" s="213">
        <f>IF(C8="","",IFERROR(VLOOKUP(C8,Punktar!$A:$B,2,0),""))</f>
        <v>6</v>
      </c>
      <c r="E8" s="212">
        <v>0.78472222222222221</v>
      </c>
      <c r="F8" s="22" t="s">
        <v>36</v>
      </c>
      <c r="G8" s="213">
        <f>IF(F8="","",IFERROR(VLOOKUP(F8,Punktar!$A:$B,2,0),""))</f>
        <v>6</v>
      </c>
      <c r="H8" s="212">
        <v>0.78472222222222221</v>
      </c>
      <c r="I8" s="22" t="s">
        <v>36</v>
      </c>
      <c r="J8" s="213">
        <f>IF(I8="","",IFERROR(VLOOKUP(I8,Punktar!$A:$B,2,0),""))</f>
        <v>6</v>
      </c>
      <c r="K8" s="212">
        <v>0.78472222222222221</v>
      </c>
      <c r="L8" s="22" t="s">
        <v>36</v>
      </c>
      <c r="M8" s="213">
        <f>IF(L8="","",IFERROR(VLOOKUP(L8,Punktar!$A:$B,2,0),""))</f>
        <v>6</v>
      </c>
      <c r="N8" s="212">
        <v>0.78472222222222221</v>
      </c>
      <c r="O8" s="22" t="s">
        <v>36</v>
      </c>
      <c r="P8" s="213">
        <f>IF(O8="","",IFERROR(VLOOKUP(O8,Punktar!$A:$B,2,0),""))</f>
        <v>6</v>
      </c>
      <c r="Q8" s="212">
        <v>0.79166666666666663</v>
      </c>
      <c r="R8" s="22" t="s">
        <v>212</v>
      </c>
      <c r="S8" s="213">
        <f>IF(R8="","",IFERROR(VLOOKUP(R8,Punktar!$A:$B,2,0),""))</f>
        <v>5</v>
      </c>
      <c r="T8" s="212">
        <v>0.78472222222222221</v>
      </c>
      <c r="U8" s="22" t="s">
        <v>36</v>
      </c>
      <c r="V8" s="213">
        <f>IF(U8="","",IFERROR(VLOOKUP(U8,Punktar!$A:$B,2,0),""))</f>
        <v>6</v>
      </c>
    </row>
    <row r="9" spans="1:22" x14ac:dyDescent="0.2">
      <c r="A9" s="228"/>
      <c r="B9" s="212">
        <v>0.78819444444444453</v>
      </c>
      <c r="C9" s="22" t="s">
        <v>148</v>
      </c>
      <c r="D9" s="213" t="str">
        <f>IF(C9="","",IFERROR(VLOOKUP(C9,Punktar!$A:$B,2,0),""))</f>
        <v>-</v>
      </c>
      <c r="E9" s="212">
        <v>0.78819444444444453</v>
      </c>
      <c r="F9" s="22" t="s">
        <v>148</v>
      </c>
      <c r="G9" s="213" t="str">
        <f>IF(F9="","",IFERROR(VLOOKUP(F9,Punktar!$A:$B,2,0),""))</f>
        <v>-</v>
      </c>
      <c r="H9" s="212">
        <v>0.78819444444444453</v>
      </c>
      <c r="I9" s="22" t="s">
        <v>148</v>
      </c>
      <c r="J9" s="213" t="str">
        <f>IF(I9="","",IFERROR(VLOOKUP(I9,Punktar!$A:$B,2,0),""))</f>
        <v>-</v>
      </c>
      <c r="K9" s="212">
        <v>0.78819444444444453</v>
      </c>
      <c r="L9" s="22" t="s">
        <v>148</v>
      </c>
      <c r="M9" s="213" t="str">
        <f>IF(L9="","",IFERROR(VLOOKUP(L9,Punktar!$A:$B,2,0),""))</f>
        <v>-</v>
      </c>
      <c r="N9" s="212">
        <v>0.78819444444444453</v>
      </c>
      <c r="O9" s="22" t="s">
        <v>181</v>
      </c>
      <c r="P9" s="213" t="str">
        <f>IF(O9="","",IFERROR(VLOOKUP(O9,Punktar!$A:$B,2,0),""))</f>
        <v/>
      </c>
      <c r="Q9" s="212"/>
      <c r="R9" s="22" t="s">
        <v>253</v>
      </c>
      <c r="S9" s="213">
        <f>IF(R9="","",IFERROR(VLOOKUP(R9,Punktar!$A:$B,2,0),""))</f>
        <v>6</v>
      </c>
      <c r="T9" s="212">
        <v>0.79166666666666663</v>
      </c>
      <c r="U9" s="22" t="s">
        <v>179</v>
      </c>
      <c r="V9" s="213" t="str">
        <f>IF(U9="","",IFERROR(VLOOKUP(U9,Punktar!$A:$B,2,0),""))</f>
        <v/>
      </c>
    </row>
    <row r="10" spans="1:22" x14ac:dyDescent="0.2">
      <c r="A10" s="228"/>
      <c r="B10" s="212">
        <v>0.80208333333333337</v>
      </c>
      <c r="C10" s="22" t="s">
        <v>178</v>
      </c>
      <c r="D10" s="213" t="str">
        <f>IF(C10="","",IFERROR(VLOOKUP(C10,Punktar!$A:$B,2,0),""))</f>
        <v/>
      </c>
      <c r="E10" s="212">
        <v>0.79861111111111116</v>
      </c>
      <c r="F10" s="22" t="s">
        <v>186</v>
      </c>
      <c r="G10" s="213">
        <f>IF(F10="","",IFERROR(VLOOKUP(F10,Punktar!$A:$B,2,0),""))</f>
        <v>2</v>
      </c>
      <c r="H10" s="212">
        <v>0.79861111111111116</v>
      </c>
      <c r="I10" s="22" t="s">
        <v>213</v>
      </c>
      <c r="J10" s="213">
        <f>IF(I10="","",IFERROR(VLOOKUP(I10,Punktar!$A:$B,2,0),""))</f>
        <v>2</v>
      </c>
      <c r="K10" s="212">
        <v>0.79861111111111116</v>
      </c>
      <c r="L10" s="22" t="s">
        <v>203</v>
      </c>
      <c r="M10" s="213">
        <f>IF(L10="","",IFERROR(VLOOKUP(L10,Punktar!$A:$B,2,0),""))</f>
        <v>2</v>
      </c>
      <c r="N10" s="212">
        <v>0.83333333333333337</v>
      </c>
      <c r="O10" s="22" t="s">
        <v>191</v>
      </c>
      <c r="P10" s="213" t="str">
        <f>IF(O10="","",IFERROR(VLOOKUP(O10,Punktar!$A:$B,2,0),""))</f>
        <v/>
      </c>
      <c r="Q10" s="212">
        <v>0.82291666666666663</v>
      </c>
      <c r="R10" s="22" t="s">
        <v>193</v>
      </c>
      <c r="S10" s="213" t="str">
        <f>IF(R10="","",IFERROR(VLOOKUP(R10,Punktar!$A:$B,2,0),""))</f>
        <v/>
      </c>
      <c r="T10" s="212">
        <v>0.8125</v>
      </c>
      <c r="U10" s="22" t="s">
        <v>173</v>
      </c>
      <c r="V10" s="213" t="str">
        <f>IF(U10="","",IFERROR(VLOOKUP(U10,Punktar!$A:$B,2,0),""))</f>
        <v/>
      </c>
    </row>
    <row r="11" spans="1:22" x14ac:dyDescent="0.2">
      <c r="A11" s="228"/>
      <c r="B11" s="212">
        <v>0.81944444444444453</v>
      </c>
      <c r="C11" s="22" t="s">
        <v>170</v>
      </c>
      <c r="D11" s="213" t="str">
        <f>IF(C11="","",IFERROR(VLOOKUP(C11,Punktar!$A:$B,2,0),""))</f>
        <v/>
      </c>
      <c r="E11" s="212">
        <v>0.82638888888888884</v>
      </c>
      <c r="F11" s="22" t="s">
        <v>174</v>
      </c>
      <c r="G11" s="213" t="str">
        <f>IF(F11="","",IFERROR(VLOOKUP(F11,Punktar!$A:$B,2,0),""))</f>
        <v/>
      </c>
      <c r="H11" s="212">
        <v>0.80902777777777779</v>
      </c>
      <c r="I11" s="22" t="s">
        <v>175</v>
      </c>
      <c r="J11" s="213">
        <f>IF(I11="","",IFERROR(VLOOKUP(I11,Punktar!$A:$B,2,0),""))</f>
        <v>2</v>
      </c>
      <c r="K11" s="212">
        <v>0.82986111111111116</v>
      </c>
      <c r="L11" s="22" t="s">
        <v>171</v>
      </c>
      <c r="M11" s="213" t="str">
        <f>IF(L11="","",IFERROR(VLOOKUP(L11,Punktar!$A:$B,2,0),""))</f>
        <v/>
      </c>
      <c r="N11" s="212">
        <v>0.89236111111111116</v>
      </c>
      <c r="O11" s="22" t="s">
        <v>192</v>
      </c>
      <c r="P11" s="213" t="str">
        <f>IF(O11="","",IFERROR(VLOOKUP(O11,Punktar!$A:$B,2,0),""))</f>
        <v/>
      </c>
      <c r="Q11" s="212">
        <v>0.91666666666666663</v>
      </c>
      <c r="R11" s="22" t="s">
        <v>194</v>
      </c>
      <c r="S11" s="213" t="str">
        <f>IF(R11="","",IFERROR(VLOOKUP(R11,Punktar!$A:$B,2,0),""))</f>
        <v/>
      </c>
      <c r="T11" s="212">
        <v>0.85416666666666663</v>
      </c>
      <c r="U11" s="22" t="s">
        <v>177</v>
      </c>
      <c r="V11" s="213" t="str">
        <f>IF(U11="","",IFERROR(VLOOKUP(U11,Punktar!$A:$B,2,0),""))</f>
        <v/>
      </c>
    </row>
    <row r="12" spans="1:22" x14ac:dyDescent="0.2">
      <c r="A12" s="228"/>
      <c r="B12" s="212">
        <v>0.86111111111111116</v>
      </c>
      <c r="C12" s="22" t="s">
        <v>183</v>
      </c>
      <c r="D12" s="213" t="str">
        <f>IF(C12="","",IFERROR(VLOOKUP(C12,Punktar!$A:$B,2,0),""))</f>
        <v/>
      </c>
      <c r="E12" s="212">
        <v>0.86805555555555547</v>
      </c>
      <c r="F12" s="22" t="s">
        <v>187</v>
      </c>
      <c r="G12" s="213">
        <f>IF(F12="","",IFERROR(VLOOKUP(F12,Punktar!$A:$B,2,0),""))</f>
        <v>1</v>
      </c>
      <c r="H12" s="212">
        <v>0.85416666666666663</v>
      </c>
      <c r="I12" s="22" t="s">
        <v>189</v>
      </c>
      <c r="J12" s="213">
        <f>IF(I12="","",IFERROR(VLOOKUP(I12,Punktar!$A:$B,2,0),""))</f>
        <v>2</v>
      </c>
      <c r="K12" s="212">
        <v>0.86458333333333337</v>
      </c>
      <c r="L12" s="22" t="s">
        <v>190</v>
      </c>
      <c r="M12" s="213">
        <f>IF(L12="","",IFERROR(VLOOKUP(L12,Punktar!$A:$B,2,0),""))</f>
        <v>2</v>
      </c>
      <c r="N12" s="212">
        <v>0.98263888888888884</v>
      </c>
      <c r="O12" s="22" t="s">
        <v>210</v>
      </c>
      <c r="P12" s="213">
        <f>IF(O12="","",IFERROR(VLOOKUP(O12,Punktar!$A:$B,2,0),""))</f>
        <v>1</v>
      </c>
      <c r="Q12" s="212" t="s">
        <v>182</v>
      </c>
      <c r="R12" s="22" t="s">
        <v>182</v>
      </c>
      <c r="S12" s="213" t="str">
        <f>IF(R12="","",IFERROR(VLOOKUP(R12,Punktar!$A:$B,2,0),""))</f>
        <v/>
      </c>
      <c r="T12" s="212">
        <v>0.88888888888888884</v>
      </c>
      <c r="U12" s="22" t="s">
        <v>185</v>
      </c>
      <c r="V12" s="213" t="str">
        <f>IF(U12="","",IFERROR(VLOOKUP(U12,Punktar!$A:$B,2,0),""))</f>
        <v/>
      </c>
    </row>
    <row r="13" spans="1:22" x14ac:dyDescent="0.2">
      <c r="A13" s="228"/>
      <c r="B13" s="212">
        <v>0.90277777777777779</v>
      </c>
      <c r="C13" s="22" t="s">
        <v>180</v>
      </c>
      <c r="D13" s="213" t="str">
        <f>IF(C13="","",IFERROR(VLOOKUP(C13,Punktar!$A:$B,2,0),""))</f>
        <v/>
      </c>
      <c r="E13" s="212">
        <v>0.88541666666666663</v>
      </c>
      <c r="F13" s="22" t="s">
        <v>188</v>
      </c>
      <c r="G13" s="213" t="str">
        <f>IF(F13="","",IFERROR(VLOOKUP(F13,Punktar!$A:$B,2,0),""))</f>
        <v/>
      </c>
      <c r="H13" s="212">
        <v>0.87152777777777779</v>
      </c>
      <c r="I13" s="22" t="s">
        <v>184</v>
      </c>
      <c r="J13" s="213">
        <f>IF(I13="","",IFERROR(VLOOKUP(I13,Punktar!$A:$B,2,0),""))</f>
        <v>2</v>
      </c>
      <c r="K13" s="212">
        <v>0.89236111111111116</v>
      </c>
      <c r="L13" s="22" t="s">
        <v>172</v>
      </c>
      <c r="M13" s="213">
        <f>IF(L13="","",IFERROR(VLOOKUP(L13,Punktar!$A:$B,2,0),""))</f>
        <v>2</v>
      </c>
      <c r="N13" s="212">
        <v>0.99652777777777779</v>
      </c>
      <c r="O13" s="22" t="s">
        <v>210</v>
      </c>
      <c r="P13" s="213">
        <f>IF(O13="","",IFERROR(VLOOKUP(O13,Punktar!$A:$B,2,0),""))</f>
        <v>1</v>
      </c>
      <c r="Q13" s="212" t="s">
        <v>182</v>
      </c>
      <c r="R13" s="22" t="s">
        <v>182</v>
      </c>
      <c r="S13" s="213" t="str">
        <f>IF(R13="","",IFERROR(VLOOKUP(R13,Punktar!$A:$B,2,0),""))</f>
        <v/>
      </c>
      <c r="T13" s="212">
        <v>0.92361111111111116</v>
      </c>
      <c r="U13" s="22" t="s">
        <v>270</v>
      </c>
      <c r="V13" s="213" t="str">
        <f>IF(U13="","",IFERROR(VLOOKUP(U13,Punktar!$A:$B,2,0),""))</f>
        <v/>
      </c>
    </row>
    <row r="14" spans="1:22" x14ac:dyDescent="0.2">
      <c r="A14" s="228"/>
      <c r="B14" s="212">
        <v>0.94444444444444453</v>
      </c>
      <c r="C14" s="22" t="s">
        <v>210</v>
      </c>
      <c r="D14" s="213">
        <f>IF(C14="","",IFERROR(VLOOKUP(C14,Punktar!$A:$B,2,0),""))</f>
        <v>1</v>
      </c>
      <c r="E14" s="212">
        <v>0.89930555555555547</v>
      </c>
      <c r="F14" s="22" t="s">
        <v>176</v>
      </c>
      <c r="G14" s="213" t="str">
        <f>IF(F14="","",IFERROR(VLOOKUP(F14,Punktar!$A:$B,2,0),""))</f>
        <v/>
      </c>
      <c r="H14" s="212">
        <v>0.89236111111111116</v>
      </c>
      <c r="I14" s="22" t="s">
        <v>211</v>
      </c>
      <c r="J14" s="213">
        <f>IF(I14="","",IFERROR(VLOOKUP(I14,Punktar!$A:$B,2,0),""))</f>
        <v>2</v>
      </c>
      <c r="K14" s="212">
        <v>0.92361111111111116</v>
      </c>
      <c r="L14" s="22" t="s">
        <v>210</v>
      </c>
      <c r="M14" s="213">
        <f>IF(L14="","",IFERROR(VLOOKUP(L14,Punktar!$A:$B,2,0),""))</f>
        <v>1</v>
      </c>
      <c r="N14" s="212" t="s">
        <v>182</v>
      </c>
      <c r="O14" s="22" t="s">
        <v>182</v>
      </c>
      <c r="P14" s="213" t="str">
        <f>IF(O14="","",IFERROR(VLOOKUP(O14,Punktar!$A:$B,2,0),""))</f>
        <v/>
      </c>
      <c r="Q14" s="212" t="s">
        <v>182</v>
      </c>
      <c r="R14" s="22" t="s">
        <v>182</v>
      </c>
      <c r="S14" s="213" t="str">
        <f>IF(R14="","",IFERROR(VLOOKUP(R14,Punktar!$A:$B,2,0),""))</f>
        <v/>
      </c>
      <c r="T14" s="212">
        <v>0.96180555555555547</v>
      </c>
      <c r="U14" s="22" t="s">
        <v>271</v>
      </c>
      <c r="V14" s="213" t="str">
        <f>IF(U14="","",IFERROR(VLOOKUP(U14,Punktar!$A:$B,2,0),""))</f>
        <v/>
      </c>
    </row>
    <row r="15" spans="1:22" x14ac:dyDescent="0.2">
      <c r="A15" s="228"/>
      <c r="B15" s="212">
        <v>0.96180555555555547</v>
      </c>
      <c r="C15" s="22" t="s">
        <v>210</v>
      </c>
      <c r="D15" s="213">
        <f>IF(C15="","",IFERROR(VLOOKUP(C15,Punktar!$A:$B,2,0),""))</f>
        <v>1</v>
      </c>
      <c r="E15" s="212">
        <v>0.93402777777777779</v>
      </c>
      <c r="F15" s="22" t="s">
        <v>210</v>
      </c>
      <c r="G15" s="213">
        <f>IF(F15="","",IFERROR(VLOOKUP(F15,Punktar!$A:$B,2,0),""))</f>
        <v>1</v>
      </c>
      <c r="H15" s="212">
        <v>0.92361111111111116</v>
      </c>
      <c r="I15" s="22" t="s">
        <v>210</v>
      </c>
      <c r="J15" s="213">
        <f>IF(I15="","",IFERROR(VLOOKUP(I15,Punktar!$A:$B,2,0),""))</f>
        <v>1</v>
      </c>
      <c r="K15" s="212">
        <v>0.9375</v>
      </c>
      <c r="L15" s="22" t="s">
        <v>210</v>
      </c>
      <c r="M15" s="213">
        <f>IF(L15="","",IFERROR(VLOOKUP(L15,Punktar!$A:$B,2,0),""))</f>
        <v>1</v>
      </c>
      <c r="N15" s="212" t="s">
        <v>182</v>
      </c>
      <c r="O15" s="22" t="s">
        <v>182</v>
      </c>
      <c r="P15" s="213" t="str">
        <f>IF(O15="","",IFERROR(VLOOKUP(O15,Punktar!$A:$B,2,0),""))</f>
        <v/>
      </c>
      <c r="Q15" s="212" t="s">
        <v>182</v>
      </c>
      <c r="R15" s="22" t="s">
        <v>182</v>
      </c>
      <c r="S15" s="213" t="str">
        <f>IF(R15="","",IFERROR(VLOOKUP(R15,Punktar!$A:$B,2,0),""))</f>
        <v/>
      </c>
      <c r="T15" s="212">
        <v>0.97916666666666663</v>
      </c>
      <c r="U15" s="22" t="s">
        <v>272</v>
      </c>
      <c r="V15" s="213" t="str">
        <f>IF(U15="","",IFERROR(VLOOKUP(U15,Punktar!$A:$B,2,0),""))</f>
        <v/>
      </c>
    </row>
    <row r="16" spans="1:22" x14ac:dyDescent="0.2">
      <c r="A16" s="228"/>
      <c r="B16" s="212">
        <v>0.97569444444444453</v>
      </c>
      <c r="C16" s="22" t="s">
        <v>254</v>
      </c>
      <c r="D16" s="213" t="str">
        <f>IF(C16="","",IFERROR(VLOOKUP(C16,Punktar!$A:$B,2,0),""))</f>
        <v/>
      </c>
      <c r="E16" s="212">
        <v>0.95138888888888884</v>
      </c>
      <c r="F16" s="22" t="s">
        <v>210</v>
      </c>
      <c r="G16" s="213">
        <f>IF(F16="","",IFERROR(VLOOKUP(F16,Punktar!$A:$B,2,0),""))</f>
        <v>1</v>
      </c>
      <c r="H16" s="212">
        <v>0.9375</v>
      </c>
      <c r="I16" s="22" t="s">
        <v>210</v>
      </c>
      <c r="J16" s="213">
        <f>IF(I16="","",IFERROR(VLOOKUP(I16,Punktar!$A:$B,2,0),""))</f>
        <v>1</v>
      </c>
      <c r="K16" s="212">
        <v>0.95138888888888884</v>
      </c>
      <c r="L16" s="22" t="s">
        <v>267</v>
      </c>
      <c r="M16" s="213" t="str">
        <f>IF(L16="","",IFERROR(VLOOKUP(L16,Punktar!$A:$B,2,0),""))</f>
        <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row>
    <row r="17" spans="1:22" x14ac:dyDescent="0.2">
      <c r="A17" s="228"/>
      <c r="B17" s="212" t="s">
        <v>182</v>
      </c>
      <c r="C17" s="22" t="s">
        <v>182</v>
      </c>
      <c r="D17" s="213" t="str">
        <f>IF(C17="","",IFERROR(VLOOKUP(C17,Punktar!$A:$B,2,0),""))</f>
        <v/>
      </c>
      <c r="E17" s="212">
        <v>0.96527777777777779</v>
      </c>
      <c r="F17" s="22" t="s">
        <v>257</v>
      </c>
      <c r="G17" s="213" t="str">
        <f>IF(F17="","",IFERROR(VLOOKUP(F17,Punktar!$A:$B,2,0),""))</f>
        <v/>
      </c>
      <c r="H17" s="212">
        <v>0.95486111111111116</v>
      </c>
      <c r="I17" s="22" t="s">
        <v>263</v>
      </c>
      <c r="J17" s="213" t="str">
        <f>IF(I17="","",IFERROR(VLOOKUP(I17,Punktar!$A:$B,2,0),""))</f>
        <v/>
      </c>
      <c r="K17" s="212">
        <v>0.98611111111111116</v>
      </c>
      <c r="L17" s="22" t="s">
        <v>268</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row>
    <row r="18" spans="1:22" x14ac:dyDescent="0.2">
      <c r="A18" s="228"/>
      <c r="B18" s="212" t="s">
        <v>182</v>
      </c>
      <c r="C18" s="22" t="s">
        <v>182</v>
      </c>
      <c r="D18" s="213" t="str">
        <f>IF(C18="","",IFERROR(VLOOKUP(C18,Punktar!$A:$B,2,0),""))</f>
        <v/>
      </c>
      <c r="E18" s="212">
        <v>0.98611111111111116</v>
      </c>
      <c r="F18" s="22" t="s">
        <v>258</v>
      </c>
      <c r="G18" s="213" t="str">
        <f>IF(F18="","",IFERROR(VLOOKUP(F18,Punktar!$A:$B,2,0),""))</f>
        <v/>
      </c>
      <c r="H18" s="212">
        <v>0.98958333333333337</v>
      </c>
      <c r="I18" s="22" t="s">
        <v>264</v>
      </c>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row>
    <row r="19" spans="1:22" x14ac:dyDescent="0.2">
      <c r="A19" s="228"/>
      <c r="B19" s="212" t="s">
        <v>182</v>
      </c>
      <c r="C19" s="22" t="s">
        <v>182</v>
      </c>
      <c r="D19" s="213" t="str">
        <f>IF(C19="","",IFERROR(VLOOKUP(C19,Punktar!$A:$B,2,0),""))</f>
        <v/>
      </c>
      <c r="E19" s="212" t="s">
        <v>182</v>
      </c>
      <c r="F19" s="22" t="s">
        <v>182</v>
      </c>
      <c r="G19" s="213" t="str">
        <f>IF(F19="","",IFERROR(VLOOKUP(F19,Punktar!$A:$B,2,0),""))</f>
        <v/>
      </c>
      <c r="H19" s="212" t="s">
        <v>182</v>
      </c>
      <c r="I19" s="22" t="s">
        <v>182</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row>
    <row r="20" spans="1:22" x14ac:dyDescent="0.2">
      <c r="A20" s="229"/>
      <c r="B20" s="214" t="s">
        <v>182</v>
      </c>
      <c r="C20" s="215" t="s">
        <v>182</v>
      </c>
      <c r="D20" s="216" t="str">
        <f>IF(C20="","",IFERROR(VLOOKUP(C20,Punktar!$A:$B,2,0),""))</f>
        <v/>
      </c>
      <c r="E20" s="214" t="s">
        <v>182</v>
      </c>
      <c r="F20" s="215" t="s">
        <v>182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row>
    <row r="21" spans="1:22" x14ac:dyDescent="0.2">
      <c r="A21" s="19"/>
      <c r="B21" s="135"/>
      <c r="C21" s="20"/>
      <c r="D21" s="136"/>
      <c r="E21" s="135"/>
      <c r="F21" s="20"/>
      <c r="G21" s="136"/>
      <c r="H21" s="135"/>
      <c r="I21" s="20"/>
      <c r="J21" s="136"/>
      <c r="K21" s="135"/>
      <c r="L21" s="20"/>
      <c r="M21" s="136"/>
      <c r="N21" s="135"/>
      <c r="O21" s="20"/>
      <c r="P21" s="136"/>
      <c r="Q21" s="135"/>
      <c r="R21" s="20"/>
      <c r="S21" s="136"/>
      <c r="T21" s="135"/>
      <c r="U21" s="20"/>
      <c r="V21" s="136"/>
    </row>
    <row r="22" spans="1:22" x14ac:dyDescent="0.2">
      <c r="A22" s="1"/>
      <c r="B22" s="11"/>
      <c r="C22" s="11"/>
      <c r="D22" s="11"/>
      <c r="E22" s="11"/>
      <c r="F22" s="1"/>
      <c r="G22" s="11"/>
      <c r="H22" s="11"/>
      <c r="I22" s="1"/>
      <c r="J22" s="1"/>
      <c r="K22" s="1"/>
      <c r="L22" s="1"/>
      <c r="M22" s="1"/>
      <c r="N22" s="1"/>
      <c r="O22" s="1"/>
      <c r="P22" s="1"/>
      <c r="Q22" s="1"/>
      <c r="R22" s="1"/>
      <c r="S22" s="11"/>
      <c r="T22" s="11"/>
      <c r="U22" s="11"/>
      <c r="V22" s="1"/>
    </row>
    <row r="23" spans="1:22" x14ac:dyDescent="0.2">
      <c r="A23" s="1"/>
      <c r="B23" s="11"/>
      <c r="C23" s="11"/>
      <c r="D23" s="11"/>
      <c r="E23" s="11"/>
      <c r="F23" s="1"/>
      <c r="G23" s="11"/>
      <c r="H23" s="11"/>
      <c r="I23" s="1"/>
      <c r="J23" s="1"/>
      <c r="K23" s="1"/>
      <c r="L23" s="1"/>
      <c r="M23" s="1"/>
      <c r="N23" s="1"/>
      <c r="O23" s="1"/>
      <c r="P23" s="1"/>
      <c r="Q23" s="1"/>
      <c r="R23" s="1"/>
      <c r="S23" s="11"/>
      <c r="T23" s="11"/>
      <c r="U23" s="11"/>
      <c r="V23" s="1"/>
    </row>
    <row r="24" spans="1:22" x14ac:dyDescent="0.2">
      <c r="A24" s="1"/>
      <c r="B24" s="11"/>
      <c r="C24" s="11"/>
      <c r="D24" s="11"/>
      <c r="E24" s="11"/>
      <c r="F24" s="1"/>
      <c r="G24" s="11"/>
      <c r="H24" s="11"/>
      <c r="I24" s="1"/>
      <c r="J24" s="1"/>
      <c r="K24" s="1"/>
      <c r="L24" s="1"/>
      <c r="M24" s="1"/>
      <c r="N24" s="1"/>
      <c r="O24" s="1"/>
      <c r="P24" s="1"/>
      <c r="Q24" s="1"/>
      <c r="R24" s="1"/>
      <c r="S24" s="11"/>
      <c r="T24" s="11"/>
      <c r="U24" s="11"/>
      <c r="V24" s="1"/>
    </row>
    <row r="25" spans="1:22" x14ac:dyDescent="0.2">
      <c r="A25" s="1"/>
      <c r="B25" s="11"/>
      <c r="C25" s="11"/>
      <c r="D25" s="11"/>
      <c r="E25" s="11"/>
      <c r="F25" s="1"/>
      <c r="G25" s="11"/>
      <c r="H25" s="11"/>
      <c r="I25" s="1"/>
      <c r="J25" s="1"/>
      <c r="K25" s="1"/>
      <c r="L25" s="1"/>
      <c r="M25" s="1"/>
      <c r="N25" s="1"/>
      <c r="O25" s="1"/>
      <c r="P25" s="1"/>
      <c r="Q25" s="1"/>
      <c r="R25" s="1"/>
      <c r="S25" s="11"/>
      <c r="T25" s="11"/>
      <c r="U25" s="11"/>
      <c r="V25" s="1"/>
    </row>
    <row r="26" spans="1:22" x14ac:dyDescent="0.2">
      <c r="A26" s="1"/>
      <c r="B26" s="11"/>
      <c r="C26" s="11"/>
      <c r="D26" s="11"/>
      <c r="E26" s="11"/>
      <c r="F26" s="1"/>
      <c r="G26" s="11"/>
      <c r="H26" s="11"/>
      <c r="I26" s="1"/>
      <c r="J26" s="1"/>
      <c r="K26" s="1"/>
      <c r="L26" s="1"/>
      <c r="M26" s="1"/>
      <c r="N26" s="1"/>
      <c r="O26" s="1"/>
      <c r="P26" s="1"/>
      <c r="Q26" s="1"/>
      <c r="R26" s="1"/>
      <c r="S26" s="11"/>
      <c r="T26" s="11"/>
      <c r="U26" s="11"/>
      <c r="V26" s="1"/>
    </row>
    <row r="27" spans="1:22" x14ac:dyDescent="0.2">
      <c r="A27" s="1"/>
      <c r="B27" s="11"/>
      <c r="C27" s="11"/>
      <c r="D27" s="11"/>
      <c r="E27" s="11"/>
      <c r="F27" s="1"/>
      <c r="G27" s="11"/>
      <c r="H27" s="11"/>
      <c r="I27" s="1"/>
      <c r="J27" s="1"/>
      <c r="K27" s="1"/>
      <c r="L27" s="1"/>
      <c r="M27" s="1"/>
      <c r="N27" s="1"/>
      <c r="O27" s="1"/>
      <c r="P27" s="1"/>
      <c r="Q27" s="1"/>
      <c r="R27" s="1"/>
      <c r="S27" s="11"/>
      <c r="T27" s="11"/>
      <c r="U27" s="11"/>
      <c r="V27" s="1"/>
    </row>
    <row r="28" spans="1:22" ht="11.25" customHeight="1" x14ac:dyDescent="0.2">
      <c r="A28" s="1"/>
      <c r="B28" s="11"/>
      <c r="C28" s="11"/>
      <c r="D28" s="11"/>
      <c r="E28" s="11"/>
      <c r="F28" s="1"/>
      <c r="G28" s="1"/>
      <c r="H28" s="1"/>
      <c r="I28" s="1"/>
      <c r="J28" s="1"/>
      <c r="K28" s="1"/>
      <c r="L28" s="1"/>
      <c r="M28" s="1"/>
      <c r="N28" s="1"/>
      <c r="O28" s="1"/>
      <c r="P28" s="1"/>
      <c r="Q28" s="1"/>
      <c r="R28" s="1"/>
      <c r="S28" s="11"/>
      <c r="T28" s="11"/>
      <c r="U28" s="11"/>
      <c r="V28" s="1"/>
    </row>
    <row r="29" spans="1:22" x14ac:dyDescent="0.2">
      <c r="A29" s="1"/>
      <c r="B29" s="11"/>
      <c r="C29" s="11"/>
      <c r="D29" s="11"/>
      <c r="E29" s="11"/>
      <c r="F29" s="1"/>
      <c r="G29" s="1"/>
      <c r="H29" s="1"/>
      <c r="I29" s="1"/>
      <c r="J29" s="1"/>
      <c r="K29" s="1"/>
      <c r="L29" s="1"/>
      <c r="M29" s="1"/>
      <c r="N29" s="1"/>
      <c r="O29" s="1"/>
      <c r="P29" s="1"/>
      <c r="Q29" s="1"/>
      <c r="R29" s="1"/>
      <c r="S29" s="11"/>
      <c r="T29" s="11"/>
      <c r="U29" s="11"/>
      <c r="V29" s="1"/>
    </row>
    <row r="30" spans="1:22" x14ac:dyDescent="0.2">
      <c r="A30" s="1"/>
      <c r="B30" s="1"/>
      <c r="C30" s="1"/>
      <c r="D30" s="1"/>
      <c r="E30" s="1"/>
      <c r="F30" s="1"/>
      <c r="G30" s="1"/>
      <c r="H30" s="1"/>
      <c r="I30" s="1"/>
      <c r="J30" s="1"/>
      <c r="K30" s="1"/>
      <c r="L30" s="1"/>
      <c r="M30" s="1"/>
      <c r="N30" s="1"/>
      <c r="O30" s="1"/>
      <c r="P30" s="1"/>
      <c r="Q30" s="1"/>
      <c r="R30" s="1"/>
      <c r="S30" s="1"/>
      <c r="T30" s="1"/>
      <c r="U30" s="1"/>
      <c r="V30" s="1"/>
    </row>
    <row r="31" spans="1:22" x14ac:dyDescent="0.2"/>
    <row r="32" spans="1: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20" priority="1" operator="containsText" text=" YYY">
      <formula>NOT(ISERROR(SEARCH(" YYY",B5)))</formula>
    </cfRule>
  </conditionalFormatting>
  <pageMargins left="0.7" right="0.7" top="0.75" bottom="0.75" header="0.3" footer="0.3"/>
  <pageSetup paperSize="9"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EEBD8-0EE7-4F0F-8DCE-3D8AD09ED8B0}">
  <sheetPr>
    <tabColor theme="9"/>
  </sheetPr>
  <dimension ref="A1:W70"/>
  <sheetViews>
    <sheetView showGridLines="0" showRowColHeaders="0" workbookViewId="0">
      <pane xSplit="1" ySplit="4" topLeftCell="B5" activePane="bottomRight" state="frozen"/>
      <selection activeCell="C10" sqref="C10"/>
      <selection pane="topRight" activeCell="C10" sqref="C10"/>
      <selection pane="bottomLeft" activeCell="C10" sqref="C10"/>
      <selection pane="bottomRight" activeCell="B4" sqref="B4:C4"/>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Nóvember 2023 | Vika 45</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44'!T4+1</f>
        <v>45236</v>
      </c>
      <c r="C4" s="226"/>
      <c r="D4" s="218" t="s">
        <v>44</v>
      </c>
      <c r="E4" s="232">
        <f>B4+1</f>
        <v>45237</v>
      </c>
      <c r="F4" s="226"/>
      <c r="G4" s="219" t="s">
        <v>44</v>
      </c>
      <c r="H4" s="226">
        <f>E4+1</f>
        <v>45238</v>
      </c>
      <c r="I4" s="226"/>
      <c r="J4" s="218" t="s">
        <v>44</v>
      </c>
      <c r="K4" s="232">
        <f>H4+1</f>
        <v>45239</v>
      </c>
      <c r="L4" s="226"/>
      <c r="M4" s="219" t="s">
        <v>44</v>
      </c>
      <c r="N4" s="226">
        <f>K4+1</f>
        <v>45240</v>
      </c>
      <c r="O4" s="226"/>
      <c r="P4" s="218" t="s">
        <v>44</v>
      </c>
      <c r="Q4" s="232">
        <f>N4+1</f>
        <v>45241</v>
      </c>
      <c r="R4" s="226"/>
      <c r="S4" s="219" t="s">
        <v>44</v>
      </c>
      <c r="T4" s="226">
        <f>Q4+1</f>
        <v>45242</v>
      </c>
      <c r="U4" s="226"/>
      <c r="V4" s="219" t="s">
        <v>44</v>
      </c>
      <c r="W4" s="61"/>
    </row>
    <row r="5" spans="1:23" ht="11.25" customHeight="1" x14ac:dyDescent="0.2">
      <c r="A5" s="227" t="s">
        <v>12</v>
      </c>
      <c r="B5" s="209">
        <v>0.75</v>
      </c>
      <c r="C5" s="210" t="s">
        <v>277</v>
      </c>
      <c r="D5" s="211">
        <f>IF(C5="","",IFERROR(VLOOKUP(C5,Punktar!$A:$B,2,0),""))</f>
        <v>2</v>
      </c>
      <c r="E5" s="209">
        <v>0.72916666666666663</v>
      </c>
      <c r="F5" s="210" t="s">
        <v>35</v>
      </c>
      <c r="G5" s="211">
        <f>IF(F5="","",IFERROR(VLOOKUP(F5,Punktar!$A:$B,2,0),""))</f>
        <v>1</v>
      </c>
      <c r="H5" s="209">
        <v>0.72916666666666663</v>
      </c>
      <c r="I5" s="210" t="s">
        <v>35</v>
      </c>
      <c r="J5" s="211">
        <f>IF(I5="","",IFERROR(VLOOKUP(I5,Punktar!$A:$B,2,0),""))</f>
        <v>1</v>
      </c>
      <c r="K5" s="209">
        <v>0.72916666666666663</v>
      </c>
      <c r="L5" s="210" t="s">
        <v>35</v>
      </c>
      <c r="M5" s="211">
        <f>IF(L5="","",IFERROR(VLOOKUP(L5,Punktar!$A:$B,2,0),""))</f>
        <v>1</v>
      </c>
      <c r="N5" s="209">
        <v>0.73263888888888884</v>
      </c>
      <c r="O5" s="210" t="s">
        <v>35</v>
      </c>
      <c r="P5" s="211">
        <f>IF(O5="","",IFERROR(VLOOKUP(O5,Punktar!$A:$B,2,0),""))</f>
        <v>1</v>
      </c>
      <c r="Q5" s="209">
        <v>0.76736111111111116</v>
      </c>
      <c r="R5" s="210" t="s">
        <v>152</v>
      </c>
      <c r="S5" s="211">
        <f>IF(R5="","",IFERROR(VLOOKUP(R5,Punktar!$A:$B,2,0),""))</f>
        <v>3</v>
      </c>
      <c r="T5" s="209">
        <v>0.73611111111111116</v>
      </c>
      <c r="U5" s="210" t="s">
        <v>98</v>
      </c>
      <c r="V5" s="211">
        <f>IF(U5="","",IFERROR(VLOOKUP(U5,Punktar!$A:$B,2,0),""))</f>
        <v>1</v>
      </c>
      <c r="W5" s="61"/>
    </row>
    <row r="6" spans="1:23" x14ac:dyDescent="0.2">
      <c r="A6" s="228"/>
      <c r="B6" s="212">
        <v>0.76736111111111116</v>
      </c>
      <c r="C6" s="22" t="s">
        <v>152</v>
      </c>
      <c r="D6" s="213">
        <f>IF(C6="","",IFERROR(VLOOKUP(C6,Punktar!$A:$B,2,0),""))</f>
        <v>3</v>
      </c>
      <c r="E6" s="212">
        <v>0.74305555555555547</v>
      </c>
      <c r="F6" s="22" t="s">
        <v>277</v>
      </c>
      <c r="G6" s="213">
        <f>IF(F6="","",IFERROR(VLOOKUP(F6,Punktar!$A:$B,2,0),""))</f>
        <v>2</v>
      </c>
      <c r="H6" s="212">
        <v>0.74305555555555547</v>
      </c>
      <c r="I6" s="22" t="s">
        <v>277</v>
      </c>
      <c r="J6" s="213">
        <f>IF(I6="","",IFERROR(VLOOKUP(I6,Punktar!$A:$B,2,0),""))</f>
        <v>2</v>
      </c>
      <c r="K6" s="212">
        <v>0.74305555555555547</v>
      </c>
      <c r="L6" s="22" t="s">
        <v>277</v>
      </c>
      <c r="M6" s="213">
        <f>IF(L6="","",IFERROR(VLOOKUP(L6,Punktar!$A:$B,2,0),""))</f>
        <v>2</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0.77083333333333337</v>
      </c>
      <c r="C7" s="22" t="s">
        <v>37</v>
      </c>
      <c r="D7" s="213">
        <f>IF(C7="","",IFERROR(VLOOKUP(C7,Punktar!$A:$B,2,0),""))</f>
        <v>8</v>
      </c>
      <c r="E7" s="212">
        <v>0.76736111111111116</v>
      </c>
      <c r="F7" s="22" t="s">
        <v>152</v>
      </c>
      <c r="G7" s="213">
        <f>IF(F7="","",IFERROR(VLOOKUP(F7,Punktar!$A:$B,2,0),""))</f>
        <v>3</v>
      </c>
      <c r="H7" s="212">
        <v>0.76736111111111116</v>
      </c>
      <c r="I7" s="22" t="s">
        <v>152</v>
      </c>
      <c r="J7" s="213">
        <f>IF(I7="","",IFERROR(VLOOKUP(I7,Punktar!$A:$B,2,0),""))</f>
        <v>3</v>
      </c>
      <c r="K7" s="212">
        <v>0.74652777777777779</v>
      </c>
      <c r="L7" s="22" t="s">
        <v>313</v>
      </c>
      <c r="M7" s="213">
        <f>IF(L7="","",IFERROR(VLOOKUP(L7,Punktar!$A:$B,2,0),""))</f>
        <v>1</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0.78472222222222221</v>
      </c>
      <c r="C8" s="22" t="s">
        <v>36</v>
      </c>
      <c r="D8" s="213">
        <f>IF(C8="","",IFERROR(VLOOKUP(C8,Punktar!$A:$B,2,0),""))</f>
        <v>6</v>
      </c>
      <c r="E8" s="212">
        <v>0.77083333333333337</v>
      </c>
      <c r="F8" s="22" t="s">
        <v>37</v>
      </c>
      <c r="G8" s="213">
        <f>IF(F8="","",IFERROR(VLOOKUP(F8,Punktar!$A:$B,2,0),""))</f>
        <v>8</v>
      </c>
      <c r="H8" s="212">
        <v>0.77083333333333337</v>
      </c>
      <c r="I8" s="22" t="s">
        <v>37</v>
      </c>
      <c r="J8" s="213">
        <f>IF(I8="","",IFERROR(VLOOKUP(I8,Punktar!$A:$B,2,0),""))</f>
        <v>8</v>
      </c>
      <c r="K8" s="212">
        <v>0.76736111111111116</v>
      </c>
      <c r="L8" s="22" t="s">
        <v>152</v>
      </c>
      <c r="M8" s="213">
        <f>IF(L8="","",IFERROR(VLOOKUP(L8,Punktar!$A:$B,2,0),""))</f>
        <v>3</v>
      </c>
      <c r="N8" s="212">
        <v>0.78472222222222221</v>
      </c>
      <c r="O8" s="22" t="s">
        <v>36</v>
      </c>
      <c r="P8" s="213">
        <f>IF(O8="","",IFERROR(VLOOKUP(O8,Punktar!$A:$B,2,0),""))</f>
        <v>6</v>
      </c>
      <c r="Q8" s="212">
        <v>0.78819444444444453</v>
      </c>
      <c r="R8" s="22" t="s">
        <v>212</v>
      </c>
      <c r="S8" s="213">
        <f>IF(R8="","",IFERROR(VLOOKUP(R8,Punktar!$A:$B,2,0),""))</f>
        <v>5</v>
      </c>
      <c r="T8" s="212">
        <v>0.78472222222222221</v>
      </c>
      <c r="U8" s="22" t="s">
        <v>36</v>
      </c>
      <c r="V8" s="213">
        <f>IF(U8="","",IFERROR(VLOOKUP(U8,Punktar!$A:$B,2,0),""))</f>
        <v>6</v>
      </c>
      <c r="W8" s="61"/>
    </row>
    <row r="9" spans="1:23" x14ac:dyDescent="0.2">
      <c r="A9" s="228"/>
      <c r="B9" s="212">
        <v>0.78819444444444453</v>
      </c>
      <c r="C9" s="22" t="s">
        <v>148</v>
      </c>
      <c r="D9" s="213" t="str">
        <f>IF(C9="","",IFERROR(VLOOKUP(C9,Punktar!$A:$B,2,0),""))</f>
        <v>-</v>
      </c>
      <c r="E9" s="212">
        <v>0.78472222222222221</v>
      </c>
      <c r="F9" s="22" t="s">
        <v>36</v>
      </c>
      <c r="G9" s="213">
        <f>IF(F9="","",IFERROR(VLOOKUP(F9,Punktar!$A:$B,2,0),""))</f>
        <v>6</v>
      </c>
      <c r="H9" s="212">
        <v>0.78472222222222221</v>
      </c>
      <c r="I9" s="22" t="s">
        <v>36</v>
      </c>
      <c r="J9" s="213">
        <f>IF(I9="","",IFERROR(VLOOKUP(I9,Punktar!$A:$B,2,0),""))</f>
        <v>6</v>
      </c>
      <c r="K9" s="212">
        <v>0.77083333333333337</v>
      </c>
      <c r="L9" s="22" t="s">
        <v>37</v>
      </c>
      <c r="M9" s="213">
        <f>IF(L9="","",IFERROR(VLOOKUP(L9,Punktar!$A:$B,2,0),""))</f>
        <v>8</v>
      </c>
      <c r="N9" s="212">
        <v>0.78819444444444453</v>
      </c>
      <c r="O9" s="22" t="s">
        <v>218</v>
      </c>
      <c r="P9" s="213">
        <f>IF(O9="","",IFERROR(VLOOKUP(O9,Punktar!$A:$B,2,0),""))</f>
        <v>2</v>
      </c>
      <c r="Q9" s="212"/>
      <c r="R9" s="22" t="s">
        <v>253</v>
      </c>
      <c r="S9" s="213">
        <f>IF(R9="","",IFERROR(VLOOKUP(R9,Punktar!$A:$B,2,0),""))</f>
        <v>6</v>
      </c>
      <c r="T9" s="212">
        <v>0.79166666666666663</v>
      </c>
      <c r="U9" s="22" t="s">
        <v>233</v>
      </c>
      <c r="V9" s="213">
        <f>IF(U9="","",IFERROR(VLOOKUP(U9,Punktar!$A:$B,2,0),""))</f>
        <v>5</v>
      </c>
      <c r="W9" s="61"/>
    </row>
    <row r="10" spans="1:23" x14ac:dyDescent="0.2">
      <c r="A10" s="228"/>
      <c r="B10" s="212">
        <v>0.79861111111111116</v>
      </c>
      <c r="C10" s="22" t="s">
        <v>288</v>
      </c>
      <c r="D10" s="213">
        <f>IF(C10="","",IFERROR(VLOOKUP(C10,Punktar!$A:$B,2,0),""))</f>
        <v>2</v>
      </c>
      <c r="E10" s="212">
        <v>0.78819444444444453</v>
      </c>
      <c r="F10" s="22" t="s">
        <v>148</v>
      </c>
      <c r="G10" s="213" t="str">
        <f>IF(F10="","",IFERROR(VLOOKUP(F10,Punktar!$A:$B,2,0),""))</f>
        <v>-</v>
      </c>
      <c r="H10" s="212">
        <v>0.78819444444444453</v>
      </c>
      <c r="I10" s="22" t="s">
        <v>148</v>
      </c>
      <c r="J10" s="213" t="str">
        <f>IF(I10="","",IFERROR(VLOOKUP(I10,Punktar!$A:$B,2,0),""))</f>
        <v>-</v>
      </c>
      <c r="K10" s="212">
        <v>0.78472222222222221</v>
      </c>
      <c r="L10" s="22" t="s">
        <v>36</v>
      </c>
      <c r="M10" s="213">
        <f>IF(L10="","",IFERROR(VLOOKUP(L10,Punktar!$A:$B,2,0),""))</f>
        <v>6</v>
      </c>
      <c r="N10" s="212">
        <v>0.81597222222222221</v>
      </c>
      <c r="O10" s="22" t="s">
        <v>289</v>
      </c>
      <c r="P10" s="213">
        <f>IF(O10="","",IFERROR(VLOOKUP(O10,Punktar!$A:$B,2,0),""))</f>
        <v>2</v>
      </c>
      <c r="Q10" s="212">
        <v>0.81944444444444453</v>
      </c>
      <c r="R10" s="22" t="s">
        <v>307</v>
      </c>
      <c r="S10" s="213">
        <f>IF(R10="","",IFERROR(VLOOKUP(R10,Punktar!$A:$B,2,0),""))</f>
        <v>3</v>
      </c>
      <c r="T10" s="212">
        <v>0.80555555555555547</v>
      </c>
      <c r="U10" s="22" t="s">
        <v>288</v>
      </c>
      <c r="V10" s="213">
        <f>IF(U10="","",IFERROR(VLOOKUP(U10,Punktar!$A:$B,2,0),""))</f>
        <v>2</v>
      </c>
      <c r="W10" s="61"/>
    </row>
    <row r="11" spans="1:23" x14ac:dyDescent="0.2">
      <c r="A11" s="228"/>
      <c r="B11" s="212">
        <v>0.82986111111111116</v>
      </c>
      <c r="C11" s="22" t="s">
        <v>241</v>
      </c>
      <c r="D11" s="213">
        <f>IF(C11="","",IFERROR(VLOOKUP(C11,Punktar!$A:$B,2,0),""))</f>
        <v>2</v>
      </c>
      <c r="E11" s="212">
        <v>0.79861111111111116</v>
      </c>
      <c r="F11" s="22" t="s">
        <v>227</v>
      </c>
      <c r="G11" s="213">
        <f>IF(F11="","",IFERROR(VLOOKUP(F11,Punktar!$A:$B,2,0),""))</f>
        <v>3</v>
      </c>
      <c r="H11" s="212">
        <v>0.79861111111111116</v>
      </c>
      <c r="I11" s="22" t="s">
        <v>308</v>
      </c>
      <c r="J11" s="213">
        <f>IF(I11="","",IFERROR(VLOOKUP(I11,Punktar!$A:$B,2,0),""))</f>
        <v>3</v>
      </c>
      <c r="K11" s="212">
        <v>0.78819444444444453</v>
      </c>
      <c r="L11" s="22" t="s">
        <v>148</v>
      </c>
      <c r="M11" s="213" t="str">
        <f>IF(L11="","",IFERROR(VLOOKUP(L11,Punktar!$A:$B,2,0),""))</f>
        <v>-</v>
      </c>
      <c r="N11" s="212">
        <v>0.92708333333333337</v>
      </c>
      <c r="O11" s="22" t="s">
        <v>228</v>
      </c>
      <c r="P11" s="213">
        <f>IF(O11="","",IFERROR(VLOOKUP(O11,Punktar!$A:$B,2,0),""))</f>
        <v>2</v>
      </c>
      <c r="Q11" s="212">
        <v>0.86458333333333337</v>
      </c>
      <c r="R11" s="22" t="s">
        <v>291</v>
      </c>
      <c r="S11" s="213">
        <f>IF(R11="","",IFERROR(VLOOKUP(R11,Punktar!$A:$B,2,0),""))</f>
        <v>2</v>
      </c>
      <c r="T11" s="212">
        <v>0.82291666666666663</v>
      </c>
      <c r="U11" s="22" t="s">
        <v>234</v>
      </c>
      <c r="V11" s="213">
        <f>IF(U11="","",IFERROR(VLOOKUP(U11,Punktar!$A:$B,2,0),""))</f>
        <v>2</v>
      </c>
      <c r="W11" s="61"/>
    </row>
    <row r="12" spans="1:23" x14ac:dyDescent="0.2">
      <c r="A12" s="228"/>
      <c r="B12" s="212">
        <v>0.875</v>
      </c>
      <c r="C12" s="22" t="s">
        <v>226</v>
      </c>
      <c r="D12" s="213">
        <f>IF(C12="","",IFERROR(VLOOKUP(C12,Punktar!$A:$B,2,0),""))</f>
        <v>2</v>
      </c>
      <c r="E12" s="212">
        <v>0.82986111111111116</v>
      </c>
      <c r="F12" s="22" t="s">
        <v>186</v>
      </c>
      <c r="G12" s="213">
        <f>IF(F12="","",IFERROR(VLOOKUP(F12,Punktar!$A:$B,2,0),""))</f>
        <v>2</v>
      </c>
      <c r="H12" s="212">
        <v>0.81597222222222221</v>
      </c>
      <c r="I12" s="22" t="s">
        <v>195</v>
      </c>
      <c r="J12" s="213">
        <f>IF(I12="","",IFERROR(VLOOKUP(I12,Punktar!$A:$B,2,0),""))</f>
        <v>2</v>
      </c>
      <c r="K12" s="212">
        <v>0.79861111111111116</v>
      </c>
      <c r="L12" s="22" t="s">
        <v>203</v>
      </c>
      <c r="M12" s="213">
        <f>IF(L12="","",IFERROR(VLOOKUP(L12,Punktar!$A:$B,2,0),""))</f>
        <v>2</v>
      </c>
      <c r="N12" s="212">
        <v>0.98958333333333337</v>
      </c>
      <c r="O12" s="22" t="s">
        <v>314</v>
      </c>
      <c r="P12" s="213">
        <f>IF(O12="","",IFERROR(VLOOKUP(O12,Punktar!$A:$B,2,0),""))</f>
        <v>2</v>
      </c>
      <c r="Q12" s="212">
        <v>0.93055555555555547</v>
      </c>
      <c r="R12" s="22" t="s">
        <v>315</v>
      </c>
      <c r="S12" s="213">
        <f>IF(R12="","",IFERROR(VLOOKUP(R12,Punktar!$A:$B,2,0),""))</f>
        <v>2</v>
      </c>
      <c r="T12" s="212">
        <v>0.83680555555555547</v>
      </c>
      <c r="U12" s="22" t="s">
        <v>218</v>
      </c>
      <c r="V12" s="213">
        <f>IF(U12="","",IFERROR(VLOOKUP(U12,Punktar!$A:$B,2,0),""))</f>
        <v>2</v>
      </c>
      <c r="W12" s="61"/>
    </row>
    <row r="13" spans="1:23" x14ac:dyDescent="0.2">
      <c r="A13" s="228"/>
      <c r="B13" s="212">
        <v>0.89583333333333337</v>
      </c>
      <c r="C13" s="22" t="s">
        <v>235</v>
      </c>
      <c r="D13" s="213">
        <f>IF(C13="","",IFERROR(VLOOKUP(C13,Punktar!$A:$B,2,0),""))</f>
        <v>2</v>
      </c>
      <c r="E13" s="212">
        <v>0.86111111111111116</v>
      </c>
      <c r="F13" s="22" t="s">
        <v>202</v>
      </c>
      <c r="G13" s="213">
        <f>IF(F13="","",IFERROR(VLOOKUP(F13,Punktar!$A:$B,2,0),""))</f>
        <v>3</v>
      </c>
      <c r="H13" s="212">
        <v>0.85416666666666663</v>
      </c>
      <c r="I13" s="22" t="s">
        <v>280</v>
      </c>
      <c r="J13" s="213">
        <f>IF(I13="","",IFERROR(VLOOKUP(I13,Punktar!$A:$B,2,0),""))</f>
        <v>2</v>
      </c>
      <c r="K13" s="212">
        <v>0.82986111111111116</v>
      </c>
      <c r="L13" s="22" t="s">
        <v>278</v>
      </c>
      <c r="M13" s="213">
        <f>IF(L13="","",IFERROR(VLOOKUP(L13,Punktar!$A:$B,2,0),""))</f>
        <v>2</v>
      </c>
      <c r="N13" s="212" t="s">
        <v>182</v>
      </c>
      <c r="O13" s="22" t="s">
        <v>182</v>
      </c>
      <c r="P13" s="213" t="str">
        <f>IF(O13="","",IFERROR(VLOOKUP(O13,Punktar!$A:$B,2,0),""))</f>
        <v/>
      </c>
      <c r="Q13" s="212" t="s">
        <v>182</v>
      </c>
      <c r="R13" s="22" t="s">
        <v>182</v>
      </c>
      <c r="S13" s="213" t="str">
        <f>IF(R13="","",IFERROR(VLOOKUP(R13,Punktar!$A:$B,2,0),""))</f>
        <v/>
      </c>
      <c r="T13" s="212">
        <v>0.86111111111111116</v>
      </c>
      <c r="U13" s="22" t="s">
        <v>219</v>
      </c>
      <c r="V13" s="213">
        <f>IF(U13="","",IFERROR(VLOOKUP(U13,Punktar!$A:$B,2,0),""))</f>
        <v>1</v>
      </c>
      <c r="W13" s="61"/>
    </row>
    <row r="14" spans="1:23" x14ac:dyDescent="0.2">
      <c r="A14" s="228"/>
      <c r="B14" s="212">
        <v>0.92013888888888884</v>
      </c>
      <c r="C14" s="22" t="s">
        <v>210</v>
      </c>
      <c r="D14" s="213">
        <f>IF(C14="","",IFERROR(VLOOKUP(C14,Punktar!$A:$B,2,0),""))</f>
        <v>1</v>
      </c>
      <c r="E14" s="212">
        <v>0.89583333333333337</v>
      </c>
      <c r="F14" s="22" t="s">
        <v>187</v>
      </c>
      <c r="G14" s="213">
        <f>IF(F14="","",IFERROR(VLOOKUP(F14,Punktar!$A:$B,2,0),""))</f>
        <v>1</v>
      </c>
      <c r="H14" s="212">
        <v>0.875</v>
      </c>
      <c r="I14" s="22" t="s">
        <v>242</v>
      </c>
      <c r="J14" s="213">
        <f>IF(I14="","",IFERROR(VLOOKUP(I14,Punktar!$A:$B,2,0),""))</f>
        <v>2</v>
      </c>
      <c r="K14" s="212">
        <v>0.875</v>
      </c>
      <c r="L14" s="22" t="s">
        <v>190</v>
      </c>
      <c r="M14" s="213">
        <f>IF(L14="","",IFERROR(VLOOKUP(L14,Punktar!$A:$B,2,0),""))</f>
        <v>2</v>
      </c>
      <c r="N14" s="212" t="s">
        <v>182</v>
      </c>
      <c r="O14" s="22" t="s">
        <v>182</v>
      </c>
      <c r="P14" s="213" t="str">
        <f>IF(O14="","",IFERROR(VLOOKUP(O14,Punktar!$A:$B,2,0),""))</f>
        <v/>
      </c>
      <c r="Q14" s="212" t="s">
        <v>182</v>
      </c>
      <c r="R14" s="22" t="s">
        <v>182</v>
      </c>
      <c r="S14" s="213" t="str">
        <f>IF(R14="","",IFERROR(VLOOKUP(R14,Punktar!$A:$B,2,0),""))</f>
        <v/>
      </c>
      <c r="T14" s="212">
        <v>0.87847222222222221</v>
      </c>
      <c r="U14" s="22" t="s">
        <v>240</v>
      </c>
      <c r="V14" s="213">
        <f>IF(U14="","",IFERROR(VLOOKUP(U14,Punktar!$A:$B,2,0),""))</f>
        <v>2</v>
      </c>
      <c r="W14" s="61"/>
    </row>
    <row r="15" spans="1:23" x14ac:dyDescent="0.2">
      <c r="A15" s="228"/>
      <c r="B15" s="212">
        <v>0.9375</v>
      </c>
      <c r="C15" s="22" t="s">
        <v>210</v>
      </c>
      <c r="D15" s="213">
        <f>IF(C15="","",IFERROR(VLOOKUP(C15,Punktar!$A:$B,2,0),""))</f>
        <v>1</v>
      </c>
      <c r="E15" s="212">
        <v>0.91319444444444453</v>
      </c>
      <c r="F15" s="22" t="s">
        <v>210</v>
      </c>
      <c r="G15" s="213">
        <f>IF(F15="","",IFERROR(VLOOKUP(F15,Punktar!$A:$B,2,0),""))</f>
        <v>1</v>
      </c>
      <c r="H15" s="212">
        <v>0.92013888888888884</v>
      </c>
      <c r="I15" s="22" t="s">
        <v>211</v>
      </c>
      <c r="J15" s="213">
        <f>IF(I15="","",IFERROR(VLOOKUP(I15,Punktar!$A:$B,2,0),""))</f>
        <v>2</v>
      </c>
      <c r="K15" s="212">
        <v>0.90625</v>
      </c>
      <c r="L15" s="22" t="s">
        <v>243</v>
      </c>
      <c r="M15" s="213">
        <f>IF(L15="","",IFERROR(VLOOKUP(L15,Punktar!$A:$B,2,0),""))</f>
        <v>2</v>
      </c>
      <c r="N15" s="212" t="s">
        <v>182</v>
      </c>
      <c r="O15" s="22" t="s">
        <v>182</v>
      </c>
      <c r="P15" s="213" t="str">
        <f>IF(O15="","",IFERROR(VLOOKUP(O15,Punktar!$A:$B,2,0),""))</f>
        <v/>
      </c>
      <c r="Q15" s="212" t="s">
        <v>182</v>
      </c>
      <c r="R15" s="22" t="s">
        <v>182</v>
      </c>
      <c r="S15" s="213" t="str">
        <f>IF(R15="","",IFERROR(VLOOKUP(R15,Punktar!$A:$B,2,0),""))</f>
        <v/>
      </c>
      <c r="T15" s="212">
        <v>0.91319444444444453</v>
      </c>
      <c r="U15" s="22" t="s">
        <v>270</v>
      </c>
      <c r="V15" s="213" t="str">
        <f>IF(U15="","",IFERROR(VLOOKUP(U15,Punktar!$A:$B,2,0),""))</f>
        <v/>
      </c>
      <c r="W15" s="61"/>
    </row>
    <row r="16" spans="1:23" x14ac:dyDescent="0.2">
      <c r="A16" s="228"/>
      <c r="B16" s="212">
        <v>0.95138888888888884</v>
      </c>
      <c r="C16" s="22" t="s">
        <v>255</v>
      </c>
      <c r="D16" s="213" t="str">
        <f>IF(C16="","",IFERROR(VLOOKUP(C16,Punktar!$A:$B,2,0),""))</f>
        <v/>
      </c>
      <c r="E16" s="212">
        <v>0.93055555555555547</v>
      </c>
      <c r="F16" s="22" t="s">
        <v>210</v>
      </c>
      <c r="G16" s="213">
        <f>IF(F16="","",IFERROR(VLOOKUP(F16,Punktar!$A:$B,2,0),""))</f>
        <v>1</v>
      </c>
      <c r="H16" s="212">
        <v>0.95138888888888884</v>
      </c>
      <c r="I16" s="22" t="s">
        <v>233</v>
      </c>
      <c r="J16" s="213">
        <f>IF(I16="","",IFERROR(VLOOKUP(I16,Punktar!$A:$B,2,0),""))</f>
        <v>5</v>
      </c>
      <c r="K16" s="212">
        <v>0.94097222222222221</v>
      </c>
      <c r="L16" s="22" t="s">
        <v>210</v>
      </c>
      <c r="M16" s="213">
        <f>IF(L16="","",IFERROR(VLOOKUP(L16,Punktar!$A:$B,2,0),""))</f>
        <v>1</v>
      </c>
      <c r="N16" s="212" t="s">
        <v>182</v>
      </c>
      <c r="O16" s="22" t="s">
        <v>182</v>
      </c>
      <c r="P16" s="213" t="str">
        <f>IF(O16="","",IFERROR(VLOOKUP(O16,Punktar!$A:$B,2,0),""))</f>
        <v/>
      </c>
      <c r="Q16" s="212" t="s">
        <v>182</v>
      </c>
      <c r="R16" s="22" t="s">
        <v>182</v>
      </c>
      <c r="S16" s="213" t="str">
        <f>IF(R16="","",IFERROR(VLOOKUP(R16,Punktar!$A:$B,2,0),""))</f>
        <v/>
      </c>
      <c r="T16" s="212">
        <v>0.94791666666666663</v>
      </c>
      <c r="U16" s="22" t="s">
        <v>286</v>
      </c>
      <c r="V16" s="213" t="str">
        <f>IF(U16="","",IFERROR(VLOOKUP(U16,Punktar!$A:$B,2,0),""))</f>
        <v/>
      </c>
      <c r="W16" s="61"/>
    </row>
    <row r="17" spans="1:23" x14ac:dyDescent="0.2">
      <c r="A17" s="228"/>
      <c r="B17" s="212">
        <v>0.98611111111111116</v>
      </c>
      <c r="C17" s="22" t="s">
        <v>284</v>
      </c>
      <c r="D17" s="213" t="str">
        <f>IF(C17="","",IFERROR(VLOOKUP(C17,Punktar!$A:$B,2,0),""))</f>
        <v/>
      </c>
      <c r="E17" s="212">
        <v>0.94444444444444453</v>
      </c>
      <c r="F17" s="22" t="s">
        <v>324</v>
      </c>
      <c r="G17" s="213" t="str">
        <f>IF(F17="","",IFERROR(VLOOKUP(F17,Punktar!$A:$B,2,0),""))</f>
        <v/>
      </c>
      <c r="H17" s="212">
        <v>0.98263888888888884</v>
      </c>
      <c r="I17" s="22" t="s">
        <v>210</v>
      </c>
      <c r="J17" s="213">
        <f>IF(I17="","",IFERROR(VLOOKUP(I17,Punktar!$A:$B,2,0),""))</f>
        <v>1</v>
      </c>
      <c r="K17" s="212">
        <v>0.95833333333333337</v>
      </c>
      <c r="L17" s="22" t="s">
        <v>210</v>
      </c>
      <c r="M17" s="213">
        <f>IF(L17="","",IFERROR(VLOOKUP(L17,Punktar!$A:$B,2,0),""))</f>
        <v>1</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t="s">
        <v>182</v>
      </c>
      <c r="C18" s="22" t="s">
        <v>182</v>
      </c>
      <c r="D18" s="213" t="str">
        <f>IF(C18="","",IFERROR(VLOOKUP(C18,Punktar!$A:$B,2,0),""))</f>
        <v/>
      </c>
      <c r="E18" s="212">
        <v>0.96527777777777779</v>
      </c>
      <c r="F18" s="22" t="s">
        <v>259</v>
      </c>
      <c r="G18" s="213" t="str">
        <f>IF(F18="","",IFERROR(VLOOKUP(F18,Punktar!$A:$B,2,0),""))</f>
        <v/>
      </c>
      <c r="H18" s="212">
        <v>0.99652777777777779</v>
      </c>
      <c r="I18" s="22" t="s">
        <v>210</v>
      </c>
      <c r="J18" s="213">
        <f>IF(I18="","",IFERROR(VLOOKUP(I18,Punktar!$A:$B,2,0),""))</f>
        <v>1</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t="s">
        <v>182</v>
      </c>
      <c r="C19" s="22" t="s">
        <v>182</v>
      </c>
      <c r="D19" s="213" t="str">
        <f>IF(C19="","",IFERROR(VLOOKUP(C19,Punktar!$A:$B,2,0),""))</f>
        <v/>
      </c>
      <c r="E19" s="212">
        <v>0.99305555555555547</v>
      </c>
      <c r="F19" s="22" t="s">
        <v>258</v>
      </c>
      <c r="G19" s="213" t="str">
        <f>IF(F19="","",IFERROR(VLOOKUP(F19,Punktar!$A:$B,2,0),""))</f>
        <v/>
      </c>
      <c r="H19" s="212" t="s">
        <v>182</v>
      </c>
      <c r="I19" s="22" t="s">
        <v>182</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t="s">
        <v>182</v>
      </c>
      <c r="F20" s="215" t="s">
        <v>182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1" priority="1" operator="containsText" text=" YYY">
      <formula>NOT(ISERROR(SEARCH(" YYY",B5)))</formula>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A091-9098-4D7B-8CCB-ED447E2222AD}">
  <sheetPr>
    <tabColor theme="9"/>
  </sheetPr>
  <dimension ref="A1:W70"/>
  <sheetViews>
    <sheetView showGridLines="0" showRowColHeaders="0" zoomScaleNormal="100" workbookViewId="0">
      <pane xSplit="1" ySplit="4" topLeftCell="B5" activePane="bottomRight" state="frozen"/>
      <selection activeCell="F11" sqref="F11"/>
      <selection pane="topRight" activeCell="F11" sqref="F11"/>
      <selection pane="bottomLeft" activeCell="F11" sqref="F11"/>
      <selection pane="bottomRight" activeCell="B4" sqref="B4:C4"/>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Nóvember 2023 | Vika 46</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45'!T4+1</f>
        <v>45243</v>
      </c>
      <c r="C4" s="226"/>
      <c r="D4" s="218" t="s">
        <v>44</v>
      </c>
      <c r="E4" s="232">
        <f>B4+1</f>
        <v>45244</v>
      </c>
      <c r="F4" s="226"/>
      <c r="G4" s="219" t="s">
        <v>44</v>
      </c>
      <c r="H4" s="226">
        <f>E4+1</f>
        <v>45245</v>
      </c>
      <c r="I4" s="226"/>
      <c r="J4" s="218" t="s">
        <v>44</v>
      </c>
      <c r="K4" s="232">
        <f>H4+1</f>
        <v>45246</v>
      </c>
      <c r="L4" s="226"/>
      <c r="M4" s="219" t="s">
        <v>44</v>
      </c>
      <c r="N4" s="226">
        <f>K4+1</f>
        <v>45247</v>
      </c>
      <c r="O4" s="226"/>
      <c r="P4" s="218" t="s">
        <v>44</v>
      </c>
      <c r="Q4" s="232">
        <f>N4+1</f>
        <v>45248</v>
      </c>
      <c r="R4" s="226"/>
      <c r="S4" s="219" t="s">
        <v>44</v>
      </c>
      <c r="T4" s="226">
        <f>Q4+1</f>
        <v>45249</v>
      </c>
      <c r="U4" s="226"/>
      <c r="V4" s="219" t="s">
        <v>44</v>
      </c>
      <c r="W4" s="61"/>
    </row>
    <row r="5" spans="1:23" ht="11.25" customHeight="1" x14ac:dyDescent="0.2">
      <c r="A5" s="227" t="s">
        <v>12</v>
      </c>
      <c r="B5" s="209">
        <v>0.72916666666666663</v>
      </c>
      <c r="C5" s="210" t="s">
        <v>35</v>
      </c>
      <c r="D5" s="211">
        <f>IF(C5="","",IFERROR(VLOOKUP(C5,Punktar!$A:$B,2,0),""))</f>
        <v>1</v>
      </c>
      <c r="E5" s="209">
        <v>0.72916666666666663</v>
      </c>
      <c r="F5" s="210" t="s">
        <v>35</v>
      </c>
      <c r="G5" s="211">
        <f>IF(F5="","",IFERROR(VLOOKUP(F5,Punktar!$A:$B,2,0),""))</f>
        <v>1</v>
      </c>
      <c r="H5" s="209">
        <v>0.72916666666666663</v>
      </c>
      <c r="I5" s="210" t="s">
        <v>35</v>
      </c>
      <c r="J5" s="211">
        <f>IF(I5="","",IFERROR(VLOOKUP(I5,Punktar!$A:$B,2,0),""))</f>
        <v>1</v>
      </c>
      <c r="K5" s="209">
        <v>0.72916666666666663</v>
      </c>
      <c r="L5" s="210" t="s">
        <v>35</v>
      </c>
      <c r="M5" s="211">
        <f>IF(L5="","",IFERROR(VLOOKUP(L5,Punktar!$A:$B,2,0),""))</f>
        <v>1</v>
      </c>
      <c r="N5" s="209">
        <v>0.72916666666666663</v>
      </c>
      <c r="O5" s="210" t="s">
        <v>35</v>
      </c>
      <c r="P5" s="211">
        <f>IF(O5="","",IFERROR(VLOOKUP(O5,Punktar!$A:$B,2,0),""))</f>
        <v>1</v>
      </c>
      <c r="Q5" s="209">
        <v>0.76736111111111116</v>
      </c>
      <c r="R5" s="210" t="s">
        <v>152</v>
      </c>
      <c r="S5" s="211">
        <f>IF(R5="","",IFERROR(VLOOKUP(R5,Punktar!$A:$B,2,0),""))</f>
        <v>3</v>
      </c>
      <c r="T5" s="209">
        <v>0.73611111111111116</v>
      </c>
      <c r="U5" s="210" t="s">
        <v>98</v>
      </c>
      <c r="V5" s="211">
        <f>IF(U5="","",IFERROR(VLOOKUP(U5,Punktar!$A:$B,2,0),""))</f>
        <v>1</v>
      </c>
      <c r="W5" s="61"/>
    </row>
    <row r="6" spans="1:23" x14ac:dyDescent="0.2">
      <c r="A6" s="228"/>
      <c r="B6" s="212">
        <v>0.74305555555555547</v>
      </c>
      <c r="C6" s="22" t="s">
        <v>277</v>
      </c>
      <c r="D6" s="213">
        <f>IF(C6="","",IFERROR(VLOOKUP(C6,Punktar!$A:$B,2,0),""))</f>
        <v>2</v>
      </c>
      <c r="E6" s="212">
        <v>0.74305555555555547</v>
      </c>
      <c r="F6" s="22" t="s">
        <v>277</v>
      </c>
      <c r="G6" s="213">
        <f>IF(F6="","",IFERROR(VLOOKUP(F6,Punktar!$A:$B,2,0),""))</f>
        <v>2</v>
      </c>
      <c r="H6" s="212">
        <v>0.74305555555555547</v>
      </c>
      <c r="I6" s="22" t="s">
        <v>277</v>
      </c>
      <c r="J6" s="213">
        <f>IF(I6="","",IFERROR(VLOOKUP(I6,Punktar!$A:$B,2,0),""))</f>
        <v>2</v>
      </c>
      <c r="K6" s="212">
        <v>0.74305555555555547</v>
      </c>
      <c r="L6" s="22" t="s">
        <v>277</v>
      </c>
      <c r="M6" s="213">
        <f>IF(L6="","",IFERROR(VLOOKUP(L6,Punktar!$A:$B,2,0),""))</f>
        <v>2</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0.76736111111111116</v>
      </c>
      <c r="C7" s="22" t="s">
        <v>152</v>
      </c>
      <c r="D7" s="213">
        <f>IF(C7="","",IFERROR(VLOOKUP(C7,Punktar!$A:$B,2,0),""))</f>
        <v>3</v>
      </c>
      <c r="E7" s="212">
        <v>0.76736111111111116</v>
      </c>
      <c r="F7" s="22" t="s">
        <v>152</v>
      </c>
      <c r="G7" s="213">
        <f>IF(F7="","",IFERROR(VLOOKUP(F7,Punktar!$A:$B,2,0),""))</f>
        <v>3</v>
      </c>
      <c r="H7" s="212">
        <v>0.76736111111111116</v>
      </c>
      <c r="I7" s="22" t="s">
        <v>152</v>
      </c>
      <c r="J7" s="213">
        <f>IF(I7="","",IFERROR(VLOOKUP(I7,Punktar!$A:$B,2,0),""))</f>
        <v>3</v>
      </c>
      <c r="K7" s="212">
        <v>0.76736111111111116</v>
      </c>
      <c r="L7" s="22" t="s">
        <v>152</v>
      </c>
      <c r="M7" s="213">
        <f>IF(L7="","",IFERROR(VLOOKUP(L7,Punktar!$A:$B,2,0),""))</f>
        <v>3</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0.77083333333333337</v>
      </c>
      <c r="C8" s="22" t="s">
        <v>37</v>
      </c>
      <c r="D8" s="213">
        <f>IF(C8="","",IFERROR(VLOOKUP(C8,Punktar!$A:$B,2,0),""))</f>
        <v>8</v>
      </c>
      <c r="E8" s="212">
        <v>0.77083333333333337</v>
      </c>
      <c r="F8" s="22" t="s">
        <v>37</v>
      </c>
      <c r="G8" s="213">
        <f>IF(F8="","",IFERROR(VLOOKUP(F8,Punktar!$A:$B,2,0),""))</f>
        <v>8</v>
      </c>
      <c r="H8" s="212">
        <v>0.77083333333333337</v>
      </c>
      <c r="I8" s="22" t="s">
        <v>37</v>
      </c>
      <c r="J8" s="213">
        <f>IF(I8="","",IFERROR(VLOOKUP(I8,Punktar!$A:$B,2,0),""))</f>
        <v>8</v>
      </c>
      <c r="K8" s="212">
        <v>0.77083333333333337</v>
      </c>
      <c r="L8" s="22" t="s">
        <v>37</v>
      </c>
      <c r="M8" s="213">
        <f>IF(L8="","",IFERROR(VLOOKUP(L8,Punktar!$A:$B,2,0),""))</f>
        <v>8</v>
      </c>
      <c r="N8" s="212">
        <v>0.78472222222222221</v>
      </c>
      <c r="O8" s="22" t="s">
        <v>36</v>
      </c>
      <c r="P8" s="213">
        <f>IF(O8="","",IFERROR(VLOOKUP(O8,Punktar!$A:$B,2,0),""))</f>
        <v>6</v>
      </c>
      <c r="Q8" s="212">
        <v>0.78819444444444453</v>
      </c>
      <c r="R8" s="22" t="s">
        <v>212</v>
      </c>
      <c r="S8" s="213">
        <f>IF(R8="","",IFERROR(VLOOKUP(R8,Punktar!$A:$B,2,0),""))</f>
        <v>5</v>
      </c>
      <c r="T8" s="212">
        <v>0.78472222222222221</v>
      </c>
      <c r="U8" s="22" t="s">
        <v>36</v>
      </c>
      <c r="V8" s="213">
        <f>IF(U8="","",IFERROR(VLOOKUP(U8,Punktar!$A:$B,2,0),""))</f>
        <v>6</v>
      </c>
      <c r="W8" s="61"/>
    </row>
    <row r="9" spans="1:23" x14ac:dyDescent="0.2">
      <c r="A9" s="228"/>
      <c r="B9" s="212">
        <v>0.78472222222222221</v>
      </c>
      <c r="C9" s="22" t="s">
        <v>36</v>
      </c>
      <c r="D9" s="213">
        <f>IF(C9="","",IFERROR(VLOOKUP(C9,Punktar!$A:$B,2,0),""))</f>
        <v>6</v>
      </c>
      <c r="E9" s="212">
        <v>0.78472222222222221</v>
      </c>
      <c r="F9" s="22" t="s">
        <v>36</v>
      </c>
      <c r="G9" s="213">
        <f>IF(F9="","",IFERROR(VLOOKUP(F9,Punktar!$A:$B,2,0),""))</f>
        <v>6</v>
      </c>
      <c r="H9" s="212">
        <v>0.78472222222222221</v>
      </c>
      <c r="I9" s="22" t="s">
        <v>36</v>
      </c>
      <c r="J9" s="213">
        <f>IF(I9="","",IFERROR(VLOOKUP(I9,Punktar!$A:$B,2,0),""))</f>
        <v>6</v>
      </c>
      <c r="K9" s="212">
        <v>0.78472222222222221</v>
      </c>
      <c r="L9" s="22" t="s">
        <v>36</v>
      </c>
      <c r="M9" s="213">
        <f>IF(L9="","",IFERROR(VLOOKUP(L9,Punktar!$A:$B,2,0),""))</f>
        <v>6</v>
      </c>
      <c r="N9" s="212">
        <v>0.78819444444444453</v>
      </c>
      <c r="O9" s="22" t="s">
        <v>218</v>
      </c>
      <c r="P9" s="213">
        <f>IF(O9="","",IFERROR(VLOOKUP(O9,Punktar!$A:$B,2,0),""))</f>
        <v>2</v>
      </c>
      <c r="Q9" s="212"/>
      <c r="R9" s="22" t="s">
        <v>253</v>
      </c>
      <c r="S9" s="213">
        <f>IF(R9="","",IFERROR(VLOOKUP(R9,Punktar!$A:$B,2,0),""))</f>
        <v>6</v>
      </c>
      <c r="T9" s="212">
        <v>0.78819444444444453</v>
      </c>
      <c r="U9" s="22" t="s">
        <v>234</v>
      </c>
      <c r="V9" s="213">
        <f>IF(U9="","",IFERROR(VLOOKUP(U9,Punktar!$A:$B,2,0),""))</f>
        <v>2</v>
      </c>
      <c r="W9" s="61"/>
    </row>
    <row r="10" spans="1:23" x14ac:dyDescent="0.2">
      <c r="A10" s="228"/>
      <c r="B10" s="212">
        <v>0.78819444444444453</v>
      </c>
      <c r="C10" s="22" t="s">
        <v>148</v>
      </c>
      <c r="D10" s="213" t="str">
        <f>IF(C10="","",IFERROR(VLOOKUP(C10,Punktar!$A:$B,2,0),""))</f>
        <v>-</v>
      </c>
      <c r="E10" s="212">
        <v>0.78819444444444453</v>
      </c>
      <c r="F10" s="22" t="s">
        <v>148</v>
      </c>
      <c r="G10" s="213" t="str">
        <f>IF(F10="","",IFERROR(VLOOKUP(F10,Punktar!$A:$B,2,0),""))</f>
        <v>-</v>
      </c>
      <c r="H10" s="212">
        <v>0.78819444444444453</v>
      </c>
      <c r="I10" s="22" t="s">
        <v>148</v>
      </c>
      <c r="J10" s="213" t="str">
        <f>IF(I10="","",IFERROR(VLOOKUP(I10,Punktar!$A:$B,2,0),""))</f>
        <v>-</v>
      </c>
      <c r="K10" s="212">
        <v>0.78819444444444453</v>
      </c>
      <c r="L10" s="22" t="s">
        <v>148</v>
      </c>
      <c r="M10" s="213" t="str">
        <f>IF(L10="","",IFERROR(VLOOKUP(L10,Punktar!$A:$B,2,0),""))</f>
        <v>-</v>
      </c>
      <c r="N10" s="212">
        <v>0.81944444444444453</v>
      </c>
      <c r="O10" s="22" t="s">
        <v>290</v>
      </c>
      <c r="P10" s="213">
        <f>IF(O10="","",IFERROR(VLOOKUP(O10,Punktar!$A:$B,2,0),""))</f>
        <v>2</v>
      </c>
      <c r="Q10" s="212">
        <v>0.82291666666666663</v>
      </c>
      <c r="R10" s="22" t="s">
        <v>307</v>
      </c>
      <c r="S10" s="213">
        <f>IF(R10="","",IFERROR(VLOOKUP(R10,Punktar!$A:$B,2,0),""))</f>
        <v>3</v>
      </c>
      <c r="T10" s="212">
        <v>0.80902777777777779</v>
      </c>
      <c r="U10" s="22" t="s">
        <v>288</v>
      </c>
      <c r="V10" s="213">
        <f>IF(U10="","",IFERROR(VLOOKUP(U10,Punktar!$A:$B,2,0),""))</f>
        <v>2</v>
      </c>
      <c r="W10" s="61"/>
    </row>
    <row r="11" spans="1:23" x14ac:dyDescent="0.2">
      <c r="A11" s="228"/>
      <c r="B11" s="212">
        <v>0.79861111111111116</v>
      </c>
      <c r="C11" s="22" t="s">
        <v>288</v>
      </c>
      <c r="D11" s="213">
        <f>IF(C11="","",IFERROR(VLOOKUP(C11,Punktar!$A:$B,2,0),""))</f>
        <v>2</v>
      </c>
      <c r="E11" s="212">
        <v>0.79861111111111116</v>
      </c>
      <c r="F11" s="22" t="s">
        <v>227</v>
      </c>
      <c r="G11" s="213">
        <f>IF(F11="","",IFERROR(VLOOKUP(F11,Punktar!$A:$B,2,0),""))</f>
        <v>3</v>
      </c>
      <c r="H11" s="212">
        <v>0.79861111111111116</v>
      </c>
      <c r="I11" s="22" t="s">
        <v>308</v>
      </c>
      <c r="J11" s="213">
        <f>IF(I11="","",IFERROR(VLOOKUP(I11,Punktar!$A:$B,2,0),""))</f>
        <v>3</v>
      </c>
      <c r="K11" s="212">
        <v>0.79861111111111116</v>
      </c>
      <c r="L11" s="22" t="s">
        <v>203</v>
      </c>
      <c r="M11" s="213">
        <f>IF(L11="","",IFERROR(VLOOKUP(L11,Punktar!$A:$B,2,0),""))</f>
        <v>2</v>
      </c>
      <c r="N11" s="212">
        <v>0.91319444444444453</v>
      </c>
      <c r="O11" s="22" t="s">
        <v>287</v>
      </c>
      <c r="P11" s="213">
        <f>IF(O11="","",IFERROR(VLOOKUP(O11,Punktar!$A:$B,2,0),""))</f>
        <v>2</v>
      </c>
      <c r="Q11" s="212">
        <v>0.86458333333333337</v>
      </c>
      <c r="R11" s="22" t="s">
        <v>292</v>
      </c>
      <c r="S11" s="213">
        <f>IF(R11="","",IFERROR(VLOOKUP(R11,Punktar!$A:$B,2,0),""))</f>
        <v>2</v>
      </c>
      <c r="T11" s="212">
        <v>0.82986111111111116</v>
      </c>
      <c r="U11" s="22" t="s">
        <v>293</v>
      </c>
      <c r="V11" s="213">
        <f>IF(U11="","",IFERROR(VLOOKUP(U11,Punktar!$A:$B,2,0),""))</f>
        <v>2</v>
      </c>
      <c r="W11" s="61"/>
    </row>
    <row r="12" spans="1:23" x14ac:dyDescent="0.2">
      <c r="A12" s="228"/>
      <c r="B12" s="212">
        <v>0.82986111111111116</v>
      </c>
      <c r="C12" s="22" t="s">
        <v>241</v>
      </c>
      <c r="D12" s="213">
        <f>IF(C12="","",IFERROR(VLOOKUP(C12,Punktar!$A:$B,2,0),""))</f>
        <v>2</v>
      </c>
      <c r="E12" s="212">
        <v>0.82986111111111116</v>
      </c>
      <c r="F12" s="22" t="s">
        <v>186</v>
      </c>
      <c r="G12" s="213">
        <f>IF(F12="","",IFERROR(VLOOKUP(F12,Punktar!$A:$B,2,0),""))</f>
        <v>2</v>
      </c>
      <c r="H12" s="212">
        <v>0.81597222222222221</v>
      </c>
      <c r="I12" s="22" t="s">
        <v>175</v>
      </c>
      <c r="J12" s="213">
        <f>IF(I12="","",IFERROR(VLOOKUP(I12,Punktar!$A:$B,2,0),""))</f>
        <v>2</v>
      </c>
      <c r="K12" s="212">
        <v>0.82986111111111116</v>
      </c>
      <c r="L12" s="22" t="s">
        <v>278</v>
      </c>
      <c r="M12" s="213">
        <f>IF(L12="","",IFERROR(VLOOKUP(L12,Punktar!$A:$B,2,0),""))</f>
        <v>2</v>
      </c>
      <c r="N12" s="212">
        <v>0.97916666666666663</v>
      </c>
      <c r="O12" s="22" t="s">
        <v>316</v>
      </c>
      <c r="P12" s="213">
        <f>IF(O12="","",IFERROR(VLOOKUP(O12,Punktar!$A:$B,2,0),""))</f>
        <v>2</v>
      </c>
      <c r="Q12" s="212">
        <v>0.96527777777777779</v>
      </c>
      <c r="R12" s="22" t="s">
        <v>317</v>
      </c>
      <c r="S12" s="213">
        <f>IF(R12="","",IFERROR(VLOOKUP(R12,Punktar!$A:$B,2,0),""))</f>
        <v>2</v>
      </c>
      <c r="T12" s="212">
        <v>0.84375</v>
      </c>
      <c r="U12" s="22" t="s">
        <v>218</v>
      </c>
      <c r="V12" s="213">
        <f>IF(U12="","",IFERROR(VLOOKUP(U12,Punktar!$A:$B,2,0),""))</f>
        <v>2</v>
      </c>
      <c r="W12" s="61"/>
    </row>
    <row r="13" spans="1:23" x14ac:dyDescent="0.2">
      <c r="A13" s="228"/>
      <c r="B13" s="212">
        <v>0.875</v>
      </c>
      <c r="C13" s="22" t="s">
        <v>226</v>
      </c>
      <c r="D13" s="213">
        <f>IF(C13="","",IFERROR(VLOOKUP(C13,Punktar!$A:$B,2,0),""))</f>
        <v>2</v>
      </c>
      <c r="E13" s="212">
        <v>0.86111111111111116</v>
      </c>
      <c r="F13" s="22" t="s">
        <v>202</v>
      </c>
      <c r="G13" s="213">
        <f>IF(F13="","",IFERROR(VLOOKUP(F13,Punktar!$A:$B,2,0),""))</f>
        <v>3</v>
      </c>
      <c r="H13" s="212">
        <v>0.86111111111111116</v>
      </c>
      <c r="I13" s="22" t="s">
        <v>280</v>
      </c>
      <c r="J13" s="213">
        <f>IF(I13="","",IFERROR(VLOOKUP(I13,Punktar!$A:$B,2,0),""))</f>
        <v>2</v>
      </c>
      <c r="K13" s="212">
        <v>0.875</v>
      </c>
      <c r="L13" s="22" t="s">
        <v>190</v>
      </c>
      <c r="M13" s="213">
        <f>IF(L13="","",IFERROR(VLOOKUP(L13,Punktar!$A:$B,2,0),""))</f>
        <v>2</v>
      </c>
      <c r="N13" s="212">
        <v>0.98263888888888884</v>
      </c>
      <c r="O13" s="22" t="s">
        <v>210</v>
      </c>
      <c r="P13" s="213">
        <f>IF(O13="","",IFERROR(VLOOKUP(O13,Punktar!$A:$B,2,0),""))</f>
        <v>1</v>
      </c>
      <c r="Q13" s="212" t="s">
        <v>182</v>
      </c>
      <c r="R13" s="22" t="s">
        <v>182</v>
      </c>
      <c r="S13" s="213" t="str">
        <f>IF(R13="","",IFERROR(VLOOKUP(R13,Punktar!$A:$B,2,0),""))</f>
        <v/>
      </c>
      <c r="T13" s="212">
        <v>0.875</v>
      </c>
      <c r="U13" s="22" t="s">
        <v>240</v>
      </c>
      <c r="V13" s="213">
        <f>IF(U13="","",IFERROR(VLOOKUP(U13,Punktar!$A:$B,2,0),""))</f>
        <v>2</v>
      </c>
      <c r="W13" s="61"/>
    </row>
    <row r="14" spans="1:23" x14ac:dyDescent="0.2">
      <c r="A14" s="228"/>
      <c r="B14" s="212">
        <v>0.89583333333333337</v>
      </c>
      <c r="C14" s="22" t="s">
        <v>235</v>
      </c>
      <c r="D14" s="213">
        <f>IF(C14="","",IFERROR(VLOOKUP(C14,Punktar!$A:$B,2,0),""))</f>
        <v>2</v>
      </c>
      <c r="E14" s="212">
        <v>0.89583333333333337</v>
      </c>
      <c r="F14" s="22" t="s">
        <v>187</v>
      </c>
      <c r="G14" s="213">
        <f>IF(F14="","",IFERROR(VLOOKUP(F14,Punktar!$A:$B,2,0),""))</f>
        <v>1</v>
      </c>
      <c r="H14" s="212">
        <v>0.88194444444444453</v>
      </c>
      <c r="I14" s="22" t="s">
        <v>242</v>
      </c>
      <c r="J14" s="213">
        <f>IF(I14="","",IFERROR(VLOOKUP(I14,Punktar!$A:$B,2,0),""))</f>
        <v>2</v>
      </c>
      <c r="K14" s="212">
        <v>0.90625</v>
      </c>
      <c r="L14" s="22" t="s">
        <v>243</v>
      </c>
      <c r="M14" s="213">
        <f>IF(L14="","",IFERROR(VLOOKUP(L14,Punktar!$A:$B,2,0),""))</f>
        <v>2</v>
      </c>
      <c r="N14" s="212" t="s">
        <v>182</v>
      </c>
      <c r="O14" s="22" t="s">
        <v>182</v>
      </c>
      <c r="P14" s="213" t="str">
        <f>IF(O14="","",IFERROR(VLOOKUP(O14,Punktar!$A:$B,2,0),""))</f>
        <v/>
      </c>
      <c r="Q14" s="212" t="s">
        <v>182</v>
      </c>
      <c r="R14" s="22" t="s">
        <v>182</v>
      </c>
      <c r="S14" s="213" t="str">
        <f>IF(R14="","",IFERROR(VLOOKUP(R14,Punktar!$A:$B,2,0),""))</f>
        <v/>
      </c>
      <c r="T14" s="212">
        <v>0.90972222222222221</v>
      </c>
      <c r="U14" s="22" t="s">
        <v>294</v>
      </c>
      <c r="V14" s="213">
        <f>IF(U14="","",IFERROR(VLOOKUP(U14,Punktar!$A:$B,2,0),""))</f>
        <v>2</v>
      </c>
      <c r="W14" s="61"/>
    </row>
    <row r="15" spans="1:23" x14ac:dyDescent="0.2">
      <c r="A15" s="228"/>
      <c r="B15" s="212">
        <v>0.91666666666666663</v>
      </c>
      <c r="C15" s="22" t="s">
        <v>210</v>
      </c>
      <c r="D15" s="213">
        <f>IF(C15="","",IFERROR(VLOOKUP(C15,Punktar!$A:$B,2,0),""))</f>
        <v>1</v>
      </c>
      <c r="E15" s="212">
        <v>0.91319444444444453</v>
      </c>
      <c r="F15" s="22" t="s">
        <v>210</v>
      </c>
      <c r="G15" s="213">
        <f>IF(F15="","",IFERROR(VLOOKUP(F15,Punktar!$A:$B,2,0),""))</f>
        <v>1</v>
      </c>
      <c r="H15" s="212">
        <v>0.92708333333333337</v>
      </c>
      <c r="I15" s="22" t="s">
        <v>211</v>
      </c>
      <c r="J15" s="213">
        <f>IF(I15="","",IFERROR(VLOOKUP(I15,Punktar!$A:$B,2,0),""))</f>
        <v>2</v>
      </c>
      <c r="K15" s="212">
        <v>0.94097222222222221</v>
      </c>
      <c r="L15" s="22" t="s">
        <v>210</v>
      </c>
      <c r="M15" s="213">
        <f>IF(L15="","",IFERROR(VLOOKUP(L15,Punktar!$A:$B,2,0),""))</f>
        <v>1</v>
      </c>
      <c r="N15" s="212" t="s">
        <v>182</v>
      </c>
      <c r="O15" s="22" t="s">
        <v>182</v>
      </c>
      <c r="P15" s="213" t="str">
        <f>IF(O15="","",IFERROR(VLOOKUP(O15,Punktar!$A:$B,2,0),""))</f>
        <v/>
      </c>
      <c r="Q15" s="212" t="s">
        <v>182</v>
      </c>
      <c r="R15" s="22" t="s">
        <v>182</v>
      </c>
      <c r="S15" s="213" t="str">
        <f>IF(R15="","",IFERROR(VLOOKUP(R15,Punktar!$A:$B,2,0),""))</f>
        <v/>
      </c>
      <c r="T15" s="212">
        <v>0.94791666666666663</v>
      </c>
      <c r="U15" s="22" t="s">
        <v>270</v>
      </c>
      <c r="V15" s="213" t="str">
        <f>IF(U15="","",IFERROR(VLOOKUP(U15,Punktar!$A:$B,2,0),""))</f>
        <v/>
      </c>
      <c r="W15" s="61"/>
    </row>
    <row r="16" spans="1:23" x14ac:dyDescent="0.2">
      <c r="A16" s="228"/>
      <c r="B16" s="212">
        <v>0.93402777777777779</v>
      </c>
      <c r="C16" s="22" t="s">
        <v>210</v>
      </c>
      <c r="D16" s="213">
        <f>IF(C16="","",IFERROR(VLOOKUP(C16,Punktar!$A:$B,2,0),""))</f>
        <v>1</v>
      </c>
      <c r="E16" s="212">
        <v>0.93055555555555547</v>
      </c>
      <c r="F16" s="22" t="s">
        <v>210</v>
      </c>
      <c r="G16" s="213">
        <f>IF(F16="","",IFERROR(VLOOKUP(F16,Punktar!$A:$B,2,0),""))</f>
        <v>1</v>
      </c>
      <c r="H16" s="212">
        <v>0.95833333333333337</v>
      </c>
      <c r="I16" s="22" t="s">
        <v>321</v>
      </c>
      <c r="J16" s="213" t="str">
        <f>IF(I16="","",IFERROR(VLOOKUP(I16,Punktar!$A:$B,2,0),""))</f>
        <v/>
      </c>
      <c r="K16" s="212">
        <v>0.95833333333333337</v>
      </c>
      <c r="L16" s="22" t="s">
        <v>210</v>
      </c>
      <c r="M16" s="213">
        <f>IF(L16="","",IFERROR(VLOOKUP(L16,Punktar!$A:$B,2,0),""))</f>
        <v>1</v>
      </c>
      <c r="N16" s="212" t="s">
        <v>182</v>
      </c>
      <c r="O16" s="22" t="s">
        <v>182</v>
      </c>
      <c r="P16" s="213" t="str">
        <f>IF(O16="","",IFERROR(VLOOKUP(O16,Punktar!$A:$B,2,0),""))</f>
        <v/>
      </c>
      <c r="Q16" s="212" t="s">
        <v>182</v>
      </c>
      <c r="R16" s="22" t="s">
        <v>182</v>
      </c>
      <c r="S16" s="213" t="str">
        <f>IF(R16="","",IFERROR(VLOOKUP(R16,Punktar!$A:$B,2,0),""))</f>
        <v/>
      </c>
      <c r="T16" s="212">
        <v>0.98611111111111116</v>
      </c>
      <c r="U16" s="22" t="s">
        <v>286</v>
      </c>
      <c r="V16" s="213" t="str">
        <f>IF(U16="","",IFERROR(VLOOKUP(U16,Punktar!$A:$B,2,0),""))</f>
        <v/>
      </c>
      <c r="W16" s="61"/>
    </row>
    <row r="17" spans="1:23" x14ac:dyDescent="0.2">
      <c r="A17" s="228"/>
      <c r="B17" s="212">
        <v>0.95138888888888884</v>
      </c>
      <c r="C17" s="22" t="s">
        <v>255</v>
      </c>
      <c r="D17" s="213" t="str">
        <f>IF(C17="","",IFERROR(VLOOKUP(C17,Punktar!$A:$B,2,0),""))</f>
        <v/>
      </c>
      <c r="E17" s="212">
        <v>0.94444444444444453</v>
      </c>
      <c r="F17" s="22" t="s">
        <v>324</v>
      </c>
      <c r="G17" s="213" t="str">
        <f>IF(F17="","",IFERROR(VLOOKUP(F17,Punktar!$A:$B,2,0),""))</f>
        <v/>
      </c>
      <c r="H17" s="212">
        <v>0.98958333333333337</v>
      </c>
      <c r="I17" s="22" t="s">
        <v>210</v>
      </c>
      <c r="J17" s="213">
        <f>IF(I17="","",IFERROR(VLOOKUP(I17,Punktar!$A:$B,2,0),""))</f>
        <v>1</v>
      </c>
      <c r="K17" s="212" t="s">
        <v>182</v>
      </c>
      <c r="L17" s="22" t="s">
        <v>182</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v>0.98263888888888884</v>
      </c>
      <c r="C18" s="22" t="s">
        <v>284</v>
      </c>
      <c r="D18" s="213" t="str">
        <f>IF(C18="","",IFERROR(VLOOKUP(C18,Punktar!$A:$B,2,0),""))</f>
        <v/>
      </c>
      <c r="E18" s="212">
        <v>0.96527777777777779</v>
      </c>
      <c r="F18" s="22" t="s">
        <v>259</v>
      </c>
      <c r="G18" s="213" t="str">
        <f>IF(F18="","",IFERROR(VLOOKUP(F18,Punktar!$A:$B,2,0),""))</f>
        <v/>
      </c>
      <c r="H18" s="212"/>
      <c r="I18" s="22"/>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t="s">
        <v>182</v>
      </c>
      <c r="C19" s="22" t="s">
        <v>182</v>
      </c>
      <c r="D19" s="213" t="str">
        <f>IF(C19="","",IFERROR(VLOOKUP(C19,Punktar!$A:$B,2,0),""))</f>
        <v/>
      </c>
      <c r="E19" s="212">
        <v>0.99305555555555547</v>
      </c>
      <c r="F19" s="22" t="s">
        <v>258</v>
      </c>
      <c r="G19" s="213" t="str">
        <f>IF(F19="","",IFERROR(VLOOKUP(F19,Punktar!$A:$B,2,0),""))</f>
        <v/>
      </c>
      <c r="H19" s="212" t="s">
        <v>182</v>
      </c>
      <c r="I19" s="22" t="s">
        <v>182</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t="s">
        <v>182</v>
      </c>
      <c r="F20" s="215" t="s">
        <v>182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0" priority="1" operator="containsText" text=" YYY">
      <formula>NOT(ISERROR(SEARCH(" YYY",B5)))</formula>
    </cfRule>
  </conditionalFormatting>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A1D69-67C6-4C5E-B064-A5FFAB105764}">
  <sheetPr>
    <tabColor theme="9"/>
  </sheetPr>
  <dimension ref="A1:W70"/>
  <sheetViews>
    <sheetView showGridLines="0" showRowColHeaders="0" workbookViewId="0">
      <pane xSplit="1" ySplit="4" topLeftCell="B5" activePane="bottomRight" state="frozen"/>
      <selection activeCell="F11" sqref="F11"/>
      <selection pane="topRight" activeCell="F11" sqref="F11"/>
      <selection pane="bottomLeft" activeCell="F11" sqref="F11"/>
      <selection pane="bottomRight" activeCell="B4" sqref="B4:C4"/>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Nóvember 2023 | Vika 47</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46'!T4+1</f>
        <v>45250</v>
      </c>
      <c r="C4" s="226"/>
      <c r="D4" s="218" t="s">
        <v>44</v>
      </c>
      <c r="E4" s="232">
        <f>B4+1</f>
        <v>45251</v>
      </c>
      <c r="F4" s="226"/>
      <c r="G4" s="219" t="s">
        <v>44</v>
      </c>
      <c r="H4" s="226">
        <f>E4+1</f>
        <v>45252</v>
      </c>
      <c r="I4" s="226"/>
      <c r="J4" s="218" t="s">
        <v>44</v>
      </c>
      <c r="K4" s="232">
        <f>H4+1</f>
        <v>45253</v>
      </c>
      <c r="L4" s="226"/>
      <c r="M4" s="219" t="s">
        <v>44</v>
      </c>
      <c r="N4" s="226">
        <f>K4+1</f>
        <v>45254</v>
      </c>
      <c r="O4" s="226"/>
      <c r="P4" s="218" t="s">
        <v>44</v>
      </c>
      <c r="Q4" s="232">
        <f>N4+1</f>
        <v>45255</v>
      </c>
      <c r="R4" s="226"/>
      <c r="S4" s="219" t="s">
        <v>44</v>
      </c>
      <c r="T4" s="226">
        <f>Q4+1</f>
        <v>45256</v>
      </c>
      <c r="U4" s="226"/>
      <c r="V4" s="219" t="s">
        <v>44</v>
      </c>
      <c r="W4" s="61"/>
    </row>
    <row r="5" spans="1:23" ht="11.25" customHeight="1" x14ac:dyDescent="0.2">
      <c r="A5" s="227" t="s">
        <v>12</v>
      </c>
      <c r="B5" s="209">
        <v>0.72916666666666663</v>
      </c>
      <c r="C5" s="210" t="s">
        <v>35</v>
      </c>
      <c r="D5" s="211">
        <f>IF(C5="","",IFERROR(VLOOKUP(C5,Punktar!$A:$B,2,0),""))</f>
        <v>1</v>
      </c>
      <c r="E5" s="209">
        <v>0.72916666666666663</v>
      </c>
      <c r="F5" s="210" t="s">
        <v>35</v>
      </c>
      <c r="G5" s="211">
        <f>IF(F5="","",IFERROR(VLOOKUP(F5,Punktar!$A:$B,2,0),""))</f>
        <v>1</v>
      </c>
      <c r="H5" s="209">
        <v>0.72916666666666663</v>
      </c>
      <c r="I5" s="210" t="s">
        <v>35</v>
      </c>
      <c r="J5" s="211">
        <f>IF(I5="","",IFERROR(VLOOKUP(I5,Punktar!$A:$B,2,0),""))</f>
        <v>1</v>
      </c>
      <c r="K5" s="209">
        <v>0.72916666666666663</v>
      </c>
      <c r="L5" s="210" t="s">
        <v>35</v>
      </c>
      <c r="M5" s="211">
        <f>IF(L5="","",IFERROR(VLOOKUP(L5,Punktar!$A:$B,2,0),""))</f>
        <v>1</v>
      </c>
      <c r="N5" s="209">
        <v>0.72916666666666663</v>
      </c>
      <c r="O5" s="210" t="s">
        <v>35</v>
      </c>
      <c r="P5" s="211">
        <f>IF(O5="","",IFERROR(VLOOKUP(O5,Punktar!$A:$B,2,0),""))</f>
        <v>1</v>
      </c>
      <c r="Q5" s="209">
        <v>0.76736111111111116</v>
      </c>
      <c r="R5" s="210" t="s">
        <v>152</v>
      </c>
      <c r="S5" s="211">
        <f>IF(R5="","",IFERROR(VLOOKUP(R5,Punktar!$A:$B,2,0),""))</f>
        <v>3</v>
      </c>
      <c r="T5" s="209">
        <v>0.73611111111111116</v>
      </c>
      <c r="U5" s="210" t="s">
        <v>98</v>
      </c>
      <c r="V5" s="211">
        <f>IF(U5="","",IFERROR(VLOOKUP(U5,Punktar!$A:$B,2,0),""))</f>
        <v>1</v>
      </c>
      <c r="W5" s="61"/>
    </row>
    <row r="6" spans="1:23" x14ac:dyDescent="0.2">
      <c r="A6" s="228"/>
      <c r="B6" s="212">
        <v>0.74305555555555547</v>
      </c>
      <c r="C6" s="22" t="s">
        <v>277</v>
      </c>
      <c r="D6" s="213">
        <f>IF(C6="","",IFERROR(VLOOKUP(C6,Punktar!$A:$B,2,0),""))</f>
        <v>2</v>
      </c>
      <c r="E6" s="212">
        <v>0.74305555555555547</v>
      </c>
      <c r="F6" s="22" t="s">
        <v>277</v>
      </c>
      <c r="G6" s="213">
        <f>IF(F6="","",IFERROR(VLOOKUP(F6,Punktar!$A:$B,2,0),""))</f>
        <v>2</v>
      </c>
      <c r="H6" s="212">
        <v>0.74305555555555547</v>
      </c>
      <c r="I6" s="22" t="s">
        <v>277</v>
      </c>
      <c r="J6" s="213">
        <f>IF(I6="","",IFERROR(VLOOKUP(I6,Punktar!$A:$B,2,0),""))</f>
        <v>2</v>
      </c>
      <c r="K6" s="212">
        <v>0.74305555555555547</v>
      </c>
      <c r="L6" s="22" t="s">
        <v>277</v>
      </c>
      <c r="M6" s="213">
        <f>IF(L6="","",IFERROR(VLOOKUP(L6,Punktar!$A:$B,2,0),""))</f>
        <v>2</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0.76736111111111116</v>
      </c>
      <c r="C7" s="22" t="s">
        <v>152</v>
      </c>
      <c r="D7" s="213">
        <f>IF(C7="","",IFERROR(VLOOKUP(C7,Punktar!$A:$B,2,0),""))</f>
        <v>3</v>
      </c>
      <c r="E7" s="212">
        <v>0.76736111111111116</v>
      </c>
      <c r="F7" s="22" t="s">
        <v>152</v>
      </c>
      <c r="G7" s="213">
        <f>IF(F7="","",IFERROR(VLOOKUP(F7,Punktar!$A:$B,2,0),""))</f>
        <v>3</v>
      </c>
      <c r="H7" s="212">
        <v>0.76736111111111116</v>
      </c>
      <c r="I7" s="22" t="s">
        <v>152</v>
      </c>
      <c r="J7" s="213">
        <f>IF(I7="","",IFERROR(VLOOKUP(I7,Punktar!$A:$B,2,0),""))</f>
        <v>3</v>
      </c>
      <c r="K7" s="212">
        <v>0.76736111111111116</v>
      </c>
      <c r="L7" s="22" t="s">
        <v>152</v>
      </c>
      <c r="M7" s="213">
        <f>IF(L7="","",IFERROR(VLOOKUP(L7,Punktar!$A:$B,2,0),""))</f>
        <v>3</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0.77083333333333337</v>
      </c>
      <c r="C8" s="22" t="s">
        <v>37</v>
      </c>
      <c r="D8" s="213">
        <f>IF(C8="","",IFERROR(VLOOKUP(C8,Punktar!$A:$B,2,0),""))</f>
        <v>8</v>
      </c>
      <c r="E8" s="212">
        <v>0.77083333333333337</v>
      </c>
      <c r="F8" s="22" t="s">
        <v>37</v>
      </c>
      <c r="G8" s="213">
        <f>IF(F8="","",IFERROR(VLOOKUP(F8,Punktar!$A:$B,2,0),""))</f>
        <v>8</v>
      </c>
      <c r="H8" s="212">
        <v>0.77083333333333337</v>
      </c>
      <c r="I8" s="22" t="s">
        <v>37</v>
      </c>
      <c r="J8" s="213">
        <f>IF(I8="","",IFERROR(VLOOKUP(I8,Punktar!$A:$B,2,0),""))</f>
        <v>8</v>
      </c>
      <c r="K8" s="212">
        <v>0.77083333333333337</v>
      </c>
      <c r="L8" s="22" t="s">
        <v>37</v>
      </c>
      <c r="M8" s="213">
        <f>IF(L8="","",IFERROR(VLOOKUP(L8,Punktar!$A:$B,2,0),""))</f>
        <v>8</v>
      </c>
      <c r="N8" s="212">
        <v>0.78472222222222221</v>
      </c>
      <c r="O8" s="22" t="s">
        <v>36</v>
      </c>
      <c r="P8" s="213">
        <f>IF(O8="","",IFERROR(VLOOKUP(O8,Punktar!$A:$B,2,0),""))</f>
        <v>6</v>
      </c>
      <c r="Q8" s="212">
        <v>0.78819444444444453</v>
      </c>
      <c r="R8" s="22" t="s">
        <v>212</v>
      </c>
      <c r="S8" s="213">
        <f>IF(R8="","",IFERROR(VLOOKUP(R8,Punktar!$A:$B,2,0),""))</f>
        <v>5</v>
      </c>
      <c r="T8" s="212">
        <v>0.78472222222222221</v>
      </c>
      <c r="U8" s="22" t="s">
        <v>36</v>
      </c>
      <c r="V8" s="213">
        <f>IF(U8="","",IFERROR(VLOOKUP(U8,Punktar!$A:$B,2,0),""))</f>
        <v>6</v>
      </c>
      <c r="W8" s="61"/>
    </row>
    <row r="9" spans="1:23" x14ac:dyDescent="0.2">
      <c r="A9" s="228"/>
      <c r="B9" s="212">
        <v>0.78472222222222221</v>
      </c>
      <c r="C9" s="22" t="s">
        <v>36</v>
      </c>
      <c r="D9" s="213">
        <f>IF(C9="","",IFERROR(VLOOKUP(C9,Punktar!$A:$B,2,0),""))</f>
        <v>6</v>
      </c>
      <c r="E9" s="212">
        <v>0.78472222222222221</v>
      </c>
      <c r="F9" s="22" t="s">
        <v>36</v>
      </c>
      <c r="G9" s="213">
        <f>IF(F9="","",IFERROR(VLOOKUP(F9,Punktar!$A:$B,2,0),""))</f>
        <v>6</v>
      </c>
      <c r="H9" s="212">
        <v>0.78472222222222221</v>
      </c>
      <c r="I9" s="22" t="s">
        <v>36</v>
      </c>
      <c r="J9" s="213">
        <f>IF(I9="","",IFERROR(VLOOKUP(I9,Punktar!$A:$B,2,0),""))</f>
        <v>6</v>
      </c>
      <c r="K9" s="212">
        <v>0.78472222222222221</v>
      </c>
      <c r="L9" s="22" t="s">
        <v>36</v>
      </c>
      <c r="M9" s="213">
        <f>IF(L9="","",IFERROR(VLOOKUP(L9,Punktar!$A:$B,2,0),""))</f>
        <v>6</v>
      </c>
      <c r="N9" s="212">
        <v>0.79166666666666663</v>
      </c>
      <c r="O9" s="22" t="s">
        <v>325</v>
      </c>
      <c r="P9" s="213" t="str">
        <f>IF(O9="","",IFERROR(VLOOKUP(O9,Punktar!$A:$B,2,0),""))</f>
        <v>*</v>
      </c>
      <c r="Q9" s="212"/>
      <c r="R9" s="22" t="s">
        <v>253</v>
      </c>
      <c r="S9" s="213">
        <f>IF(R9="","",IFERROR(VLOOKUP(R9,Punktar!$A:$B,2,0),""))</f>
        <v>6</v>
      </c>
      <c r="T9" s="212">
        <v>0.81944444444444453</v>
      </c>
      <c r="U9" s="22" t="s">
        <v>300</v>
      </c>
      <c r="V9" s="213">
        <f>IF(U9="","",IFERROR(VLOOKUP(U9,Punktar!$A:$B,2,0),""))</f>
        <v>2</v>
      </c>
      <c r="W9" s="61"/>
    </row>
    <row r="10" spans="1:23" x14ac:dyDescent="0.2">
      <c r="A10" s="228"/>
      <c r="B10" s="212">
        <v>0.78819444444444453</v>
      </c>
      <c r="C10" s="22" t="s">
        <v>148</v>
      </c>
      <c r="D10" s="213" t="str">
        <f>IF(C10="","",IFERROR(VLOOKUP(C10,Punktar!$A:$B,2,0),""))</f>
        <v>-</v>
      </c>
      <c r="E10" s="212">
        <v>0.78819444444444453</v>
      </c>
      <c r="F10" s="22" t="s">
        <v>148</v>
      </c>
      <c r="G10" s="213" t="str">
        <f>IF(F10="","",IFERROR(VLOOKUP(F10,Punktar!$A:$B,2,0),""))</f>
        <v>-</v>
      </c>
      <c r="H10" s="212">
        <v>0.78819444444444453</v>
      </c>
      <c r="I10" s="22" t="s">
        <v>148</v>
      </c>
      <c r="J10" s="213" t="str">
        <f>IF(I10="","",IFERROR(VLOOKUP(I10,Punktar!$A:$B,2,0),""))</f>
        <v>-</v>
      </c>
      <c r="K10" s="212">
        <v>0.78819444444444453</v>
      </c>
      <c r="L10" s="22" t="s">
        <v>148</v>
      </c>
      <c r="M10" s="213" t="str">
        <f>IF(L10="","",IFERROR(VLOOKUP(L10,Punktar!$A:$B,2,0),""))</f>
        <v>-</v>
      </c>
      <c r="N10" s="212"/>
      <c r="O10" s="22" t="s">
        <v>326</v>
      </c>
      <c r="P10" s="213" t="str">
        <f>IF(O10="","",IFERROR(VLOOKUP(O10,Punktar!$A:$B,2,0),""))</f>
        <v>*</v>
      </c>
      <c r="Q10" s="212">
        <v>0.82291666666666663</v>
      </c>
      <c r="R10" s="22" t="s">
        <v>298</v>
      </c>
      <c r="S10" s="213">
        <f>IF(R10="","",IFERROR(VLOOKUP(R10,Punktar!$A:$B,2,0),""))</f>
        <v>2</v>
      </c>
      <c r="T10" s="212">
        <v>0.84722222222222221</v>
      </c>
      <c r="U10" s="22" t="s">
        <v>234</v>
      </c>
      <c r="V10" s="213">
        <f>IF(U10="","",IFERROR(VLOOKUP(U10,Punktar!$A:$B,2,0),""))</f>
        <v>2</v>
      </c>
      <c r="W10" s="61"/>
    </row>
    <row r="11" spans="1:23" x14ac:dyDescent="0.2">
      <c r="A11" s="228"/>
      <c r="B11" s="212">
        <v>0.79513888888888884</v>
      </c>
      <c r="C11" s="22" t="s">
        <v>295</v>
      </c>
      <c r="D11" s="213">
        <f>IF(C11="","",IFERROR(VLOOKUP(C11,Punktar!$A:$B,2,0),""))</f>
        <v>2</v>
      </c>
      <c r="E11" s="212">
        <v>0.79861111111111116</v>
      </c>
      <c r="F11" s="22" t="s">
        <v>227</v>
      </c>
      <c r="G11" s="213">
        <f>IF(F11="","",IFERROR(VLOOKUP(F11,Punktar!$A:$B,2,0),""))</f>
        <v>3</v>
      </c>
      <c r="H11" s="212">
        <v>0.79861111111111116</v>
      </c>
      <c r="I11" s="22" t="s">
        <v>308</v>
      </c>
      <c r="J11" s="213">
        <f>IF(I11="","",IFERROR(VLOOKUP(I11,Punktar!$A:$B,2,0),""))</f>
        <v>3</v>
      </c>
      <c r="K11" s="212">
        <v>0.79861111111111116</v>
      </c>
      <c r="L11" s="22" t="s">
        <v>203</v>
      </c>
      <c r="M11" s="213">
        <f>IF(L11="","",IFERROR(VLOOKUP(L11,Punktar!$A:$B,2,0),""))</f>
        <v>2</v>
      </c>
      <c r="N11" s="212">
        <v>0.83680555555555547</v>
      </c>
      <c r="O11" s="22" t="s">
        <v>218</v>
      </c>
      <c r="P11" s="213">
        <f>IF(O11="","",IFERROR(VLOOKUP(O11,Punktar!$A:$B,2,0),""))</f>
        <v>2</v>
      </c>
      <c r="Q11" s="212">
        <v>0.91319444444444453</v>
      </c>
      <c r="R11" s="22" t="s">
        <v>299</v>
      </c>
      <c r="S11" s="213">
        <f>IF(R11="","",IFERROR(VLOOKUP(R11,Punktar!$A:$B,2,0),""))</f>
        <v>2</v>
      </c>
      <c r="T11" s="212">
        <v>0.88888888888888884</v>
      </c>
      <c r="U11" s="22" t="s">
        <v>293</v>
      </c>
      <c r="V11" s="213">
        <f>IF(U11="","",IFERROR(VLOOKUP(U11,Punktar!$A:$B,2,0),""))</f>
        <v>2</v>
      </c>
      <c r="W11" s="61"/>
    </row>
    <row r="12" spans="1:23" x14ac:dyDescent="0.2">
      <c r="A12" s="228"/>
      <c r="B12" s="212">
        <v>0.82986111111111116</v>
      </c>
      <c r="C12" s="22" t="s">
        <v>288</v>
      </c>
      <c r="D12" s="213">
        <f>IF(C12="","",IFERROR(VLOOKUP(C12,Punktar!$A:$B,2,0),""))</f>
        <v>2</v>
      </c>
      <c r="E12" s="212">
        <v>0.82986111111111116</v>
      </c>
      <c r="F12" s="22" t="s">
        <v>186</v>
      </c>
      <c r="G12" s="213">
        <f>IF(F12="","",IFERROR(VLOOKUP(F12,Punktar!$A:$B,2,0),""))</f>
        <v>2</v>
      </c>
      <c r="H12" s="212">
        <v>0.81597222222222221</v>
      </c>
      <c r="I12" s="22" t="s">
        <v>175</v>
      </c>
      <c r="J12" s="213">
        <f>IF(I12="","",IFERROR(VLOOKUP(I12,Punktar!$A:$B,2,0),""))</f>
        <v>2</v>
      </c>
      <c r="K12" s="212">
        <v>0.82986111111111116</v>
      </c>
      <c r="L12" s="22" t="s">
        <v>278</v>
      </c>
      <c r="M12" s="213">
        <f>IF(L12="","",IFERROR(VLOOKUP(L12,Punktar!$A:$B,2,0),""))</f>
        <v>2</v>
      </c>
      <c r="N12" s="212">
        <v>0.86805555555555547</v>
      </c>
      <c r="O12" s="22" t="s">
        <v>297</v>
      </c>
      <c r="P12" s="213">
        <f>IF(O12="","",IFERROR(VLOOKUP(O12,Punktar!$A:$B,2,0),""))</f>
        <v>2</v>
      </c>
      <c r="Q12" s="212">
        <v>0.97569444444444453</v>
      </c>
      <c r="R12" s="22" t="s">
        <v>319</v>
      </c>
      <c r="S12" s="213">
        <f>IF(R12="","",IFERROR(VLOOKUP(R12,Punktar!$A:$B,2,0),""))</f>
        <v>2</v>
      </c>
      <c r="T12" s="212">
        <v>0.93402777777777779</v>
      </c>
      <c r="U12" s="22" t="s">
        <v>294</v>
      </c>
      <c r="V12" s="213">
        <f>IF(U12="","",IFERROR(VLOOKUP(U12,Punktar!$A:$B,2,0),""))</f>
        <v>2</v>
      </c>
      <c r="W12" s="61"/>
    </row>
    <row r="13" spans="1:23" x14ac:dyDescent="0.2">
      <c r="A13" s="228"/>
      <c r="B13" s="212">
        <v>0.86458333333333337</v>
      </c>
      <c r="C13" s="22" t="s">
        <v>226</v>
      </c>
      <c r="D13" s="213">
        <f>IF(C13="","",IFERROR(VLOOKUP(C13,Punktar!$A:$B,2,0),""))</f>
        <v>2</v>
      </c>
      <c r="E13" s="212">
        <v>0.86111111111111116</v>
      </c>
      <c r="F13" s="22" t="s">
        <v>296</v>
      </c>
      <c r="G13" s="213">
        <f>IF(F13="","",IFERROR(VLOOKUP(F13,Punktar!$A:$B,2,0),""))</f>
        <v>2</v>
      </c>
      <c r="H13" s="212">
        <v>0.86111111111111116</v>
      </c>
      <c r="I13" s="22" t="s">
        <v>280</v>
      </c>
      <c r="J13" s="213">
        <f>IF(I13="","",IFERROR(VLOOKUP(I13,Punktar!$A:$B,2,0),""))</f>
        <v>2</v>
      </c>
      <c r="K13" s="212">
        <v>0.875</v>
      </c>
      <c r="L13" s="22" t="s">
        <v>190</v>
      </c>
      <c r="M13" s="213">
        <f>IF(L13="","",IFERROR(VLOOKUP(L13,Punktar!$A:$B,2,0),""))</f>
        <v>2</v>
      </c>
      <c r="N13" s="212">
        <v>0.97222222222222221</v>
      </c>
      <c r="O13" s="22" t="s">
        <v>318</v>
      </c>
      <c r="P13" s="213">
        <f>IF(O13="","",IFERROR(VLOOKUP(O13,Punktar!$A:$B,2,0),""))</f>
        <v>2</v>
      </c>
      <c r="Q13" s="212" t="s">
        <v>182</v>
      </c>
      <c r="R13" s="22" t="s">
        <v>182</v>
      </c>
      <c r="S13" s="213" t="str">
        <f>IF(R13="","",IFERROR(VLOOKUP(R13,Punktar!$A:$B,2,0),""))</f>
        <v/>
      </c>
      <c r="T13" s="212">
        <v>0.97569444444444453</v>
      </c>
      <c r="U13" s="22" t="s">
        <v>270</v>
      </c>
      <c r="V13" s="213" t="str">
        <f>IF(U13="","",IFERROR(VLOOKUP(U13,Punktar!$A:$B,2,0),""))</f>
        <v/>
      </c>
      <c r="W13" s="61"/>
    </row>
    <row r="14" spans="1:23" x14ac:dyDescent="0.2">
      <c r="A14" s="228"/>
      <c r="B14" s="212">
        <v>0.93055555555555547</v>
      </c>
      <c r="C14" s="22" t="s">
        <v>210</v>
      </c>
      <c r="D14" s="213">
        <f>IF(C14="","",IFERROR(VLOOKUP(C14,Punktar!$A:$B,2,0),""))</f>
        <v>1</v>
      </c>
      <c r="E14" s="212">
        <v>0.89583333333333337</v>
      </c>
      <c r="F14" s="22" t="s">
        <v>187</v>
      </c>
      <c r="G14" s="213">
        <f>IF(F14="","",IFERROR(VLOOKUP(F14,Punktar!$A:$B,2,0),""))</f>
        <v>1</v>
      </c>
      <c r="H14" s="212">
        <v>0.88194444444444453</v>
      </c>
      <c r="I14" s="22" t="s">
        <v>242</v>
      </c>
      <c r="J14" s="213">
        <f>IF(I14="","",IFERROR(VLOOKUP(I14,Punktar!$A:$B,2,0),""))</f>
        <v>2</v>
      </c>
      <c r="K14" s="212">
        <v>0.92013888888888884</v>
      </c>
      <c r="L14" s="22" t="s">
        <v>243</v>
      </c>
      <c r="M14" s="213">
        <f>IF(L14="","",IFERROR(VLOOKUP(L14,Punktar!$A:$B,2,0),""))</f>
        <v>2</v>
      </c>
      <c r="N14" s="212">
        <v>0.97569444444444453</v>
      </c>
      <c r="O14" s="22" t="s">
        <v>210</v>
      </c>
      <c r="P14" s="213">
        <f>IF(O14="","",IFERROR(VLOOKUP(O14,Punktar!$A:$B,2,0),""))</f>
        <v>1</v>
      </c>
      <c r="Q14" s="212" t="s">
        <v>182</v>
      </c>
      <c r="R14" s="22" t="s">
        <v>182</v>
      </c>
      <c r="S14" s="213" t="str">
        <f>IF(R14="","",IFERROR(VLOOKUP(R14,Punktar!$A:$B,2,0),""))</f>
        <v/>
      </c>
      <c r="T14" s="212"/>
      <c r="U14" s="22"/>
      <c r="V14" s="213" t="str">
        <f>IF(U14="","",IFERROR(VLOOKUP(U14,Punktar!$A:$B,2,0),""))</f>
        <v/>
      </c>
      <c r="W14" s="61"/>
    </row>
    <row r="15" spans="1:23" x14ac:dyDescent="0.2">
      <c r="A15" s="228"/>
      <c r="B15" s="212">
        <v>0.94791666666666663</v>
      </c>
      <c r="C15" s="22" t="s">
        <v>210</v>
      </c>
      <c r="D15" s="213">
        <f>IF(C15="","",IFERROR(VLOOKUP(C15,Punktar!$A:$B,2,0),""))</f>
        <v>1</v>
      </c>
      <c r="E15" s="212">
        <v>0.91319444444444453</v>
      </c>
      <c r="F15" s="22" t="s">
        <v>210</v>
      </c>
      <c r="G15" s="213">
        <f>IF(F15="","",IFERROR(VLOOKUP(F15,Punktar!$A:$B,2,0),""))</f>
        <v>1</v>
      </c>
      <c r="H15" s="212">
        <v>0.92708333333333337</v>
      </c>
      <c r="I15" s="22" t="s">
        <v>211</v>
      </c>
      <c r="J15" s="213">
        <f>IF(I15="","",IFERROR(VLOOKUP(I15,Punktar!$A:$B,2,0),""))</f>
        <v>2</v>
      </c>
      <c r="K15" s="212">
        <v>0.95486111111111116</v>
      </c>
      <c r="L15" s="22" t="s">
        <v>210</v>
      </c>
      <c r="M15" s="213">
        <f>IF(L15="","",IFERROR(VLOOKUP(L15,Punktar!$A:$B,2,0),""))</f>
        <v>1</v>
      </c>
      <c r="N15" s="212">
        <v>0.99305555555555547</v>
      </c>
      <c r="O15" s="22" t="s">
        <v>210</v>
      </c>
      <c r="P15" s="213">
        <f>IF(O15="","",IFERROR(VLOOKUP(O15,Punktar!$A:$B,2,0),""))</f>
        <v>1</v>
      </c>
      <c r="Q15" s="212" t="s">
        <v>182</v>
      </c>
      <c r="R15" s="22" t="s">
        <v>182</v>
      </c>
      <c r="S15" s="213" t="str">
        <f>IF(R15="","",IFERROR(VLOOKUP(R15,Punktar!$A:$B,2,0),""))</f>
        <v/>
      </c>
      <c r="T15" s="212" t="s">
        <v>182</v>
      </c>
      <c r="U15" s="22" t="s">
        <v>182</v>
      </c>
      <c r="V15" s="213" t="str">
        <f>IF(U15="","",IFERROR(VLOOKUP(U15,Punktar!$A:$B,2,0),""))</f>
        <v/>
      </c>
      <c r="W15" s="61"/>
    </row>
    <row r="16" spans="1:23" x14ac:dyDescent="0.2">
      <c r="A16" s="228"/>
      <c r="B16" s="212">
        <v>0.96180555555555547</v>
      </c>
      <c r="C16" s="22" t="s">
        <v>255</v>
      </c>
      <c r="D16" s="213" t="str">
        <f>IF(C16="","",IFERROR(VLOOKUP(C16,Punktar!$A:$B,2,0),""))</f>
        <v/>
      </c>
      <c r="E16" s="212">
        <v>0.93055555555555547</v>
      </c>
      <c r="F16" s="22" t="s">
        <v>210</v>
      </c>
      <c r="G16" s="213">
        <f>IF(F16="","",IFERROR(VLOOKUP(F16,Punktar!$A:$B,2,0),""))</f>
        <v>1</v>
      </c>
      <c r="H16" s="212">
        <v>0.95833333333333337</v>
      </c>
      <c r="I16" s="22" t="s">
        <v>210</v>
      </c>
      <c r="J16" s="213">
        <f>IF(I16="","",IFERROR(VLOOKUP(I16,Punktar!$A:$B,2,0),""))</f>
        <v>1</v>
      </c>
      <c r="K16" s="212">
        <v>0.97569444444444453</v>
      </c>
      <c r="L16" s="22" t="s">
        <v>210</v>
      </c>
      <c r="M16" s="213">
        <f>IF(L16="","",IFERROR(VLOOKUP(L16,Punktar!$A:$B,2,0),""))</f>
        <v>1</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61"/>
    </row>
    <row r="17" spans="1:23" x14ac:dyDescent="0.2">
      <c r="A17" s="228"/>
      <c r="B17" s="212">
        <v>0.99652777777777779</v>
      </c>
      <c r="C17" s="22" t="s">
        <v>284</v>
      </c>
      <c r="D17" s="213" t="str">
        <f>IF(C17="","",IFERROR(VLOOKUP(C17,Punktar!$A:$B,2,0),""))</f>
        <v/>
      </c>
      <c r="E17" s="212">
        <v>0.99652777777777779</v>
      </c>
      <c r="F17" s="22" t="s">
        <v>324</v>
      </c>
      <c r="G17" s="213" t="str">
        <f>IF(F17="","",IFERROR(VLOOKUP(F17,Punktar!$A:$B,2,0),""))</f>
        <v/>
      </c>
      <c r="H17" s="212">
        <v>0.97569444444444453</v>
      </c>
      <c r="I17" s="22" t="s">
        <v>210</v>
      </c>
      <c r="J17" s="213">
        <f>IF(I17="","",IFERROR(VLOOKUP(I17,Punktar!$A:$B,2,0),""))</f>
        <v>1</v>
      </c>
      <c r="K17" s="212">
        <v>0.98958333333333337</v>
      </c>
      <c r="L17" s="22" t="s">
        <v>303</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c r="C18" s="22"/>
      <c r="D18" s="213" t="str">
        <f>IF(C18="","",IFERROR(VLOOKUP(C18,Punktar!$A:$B,2,0),""))</f>
        <v/>
      </c>
      <c r="E18" s="212" t="s">
        <v>182</v>
      </c>
      <c r="F18" s="22" t="s">
        <v>182</v>
      </c>
      <c r="G18" s="213" t="str">
        <f>IF(F18="","",IFERROR(VLOOKUP(F18,Punktar!$A:$B,2,0),""))</f>
        <v/>
      </c>
      <c r="H18" s="212">
        <v>0.99305555555555547</v>
      </c>
      <c r="I18" s="22" t="s">
        <v>285</v>
      </c>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t="s">
        <v>182</v>
      </c>
      <c r="C19" s="22" t="s">
        <v>182</v>
      </c>
      <c r="D19" s="213" t="str">
        <f>IF(C19="","",IFERROR(VLOOKUP(C19,Punktar!$A:$B,2,0),""))</f>
        <v/>
      </c>
      <c r="E19" s="212" t="s">
        <v>182</v>
      </c>
      <c r="F19" s="22" t="s">
        <v>182</v>
      </c>
      <c r="G19" s="213" t="str">
        <f>IF(F19="","",IFERROR(VLOOKUP(F19,Punktar!$A:$B,2,0),""))</f>
        <v/>
      </c>
      <c r="H19" s="212" t="s">
        <v>182</v>
      </c>
      <c r="I19" s="22" t="s">
        <v>182</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t="s">
        <v>182</v>
      </c>
      <c r="F20" s="215" t="s">
        <v>182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9" priority="1" operator="containsText" text=" YYY">
      <formula>NOT(ISERROR(SEARCH(" YYY",B5)))</formula>
    </cfRule>
  </conditionalFormatting>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E82A0-086F-46BE-9D85-F6DBEBD8C5A5}">
  <sheetPr>
    <tabColor theme="9"/>
  </sheetPr>
  <dimension ref="A1:W70"/>
  <sheetViews>
    <sheetView showGridLines="0" showRowColHeaders="0" workbookViewId="0">
      <pane xSplit="1" ySplit="4" topLeftCell="B5" activePane="bottomRight" state="frozen"/>
      <selection activeCell="F11" sqref="F11"/>
      <selection pane="topRight" activeCell="F11" sqref="F11"/>
      <selection pane="bottomLeft" activeCell="F11" sqref="F11"/>
      <selection pane="bottomRight" activeCell="B4" sqref="B4:C4"/>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Nóvember 2023 | Vika 48</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0"/>
      <c r="H3" s="230"/>
      <c r="I3" s="230"/>
      <c r="J3" s="230"/>
      <c r="K3" s="230"/>
      <c r="L3" s="230"/>
      <c r="M3" s="230"/>
      <c r="N3" s="230"/>
      <c r="O3" s="230"/>
      <c r="P3" s="230"/>
      <c r="Q3" s="230"/>
      <c r="R3" s="230"/>
      <c r="S3" s="230"/>
      <c r="T3" s="12"/>
      <c r="U3" s="13"/>
      <c r="V3" s="13"/>
      <c r="W3" s="1"/>
    </row>
    <row r="4" spans="1:23" x14ac:dyDescent="0.2">
      <c r="A4" s="217"/>
      <c r="B4" s="232">
        <f>'Vika 47'!T4+1</f>
        <v>45257</v>
      </c>
      <c r="C4" s="226"/>
      <c r="D4" s="218" t="s">
        <v>44</v>
      </c>
      <c r="E4" s="232">
        <f>B4+1</f>
        <v>45258</v>
      </c>
      <c r="F4" s="226"/>
      <c r="G4" s="219" t="s">
        <v>44</v>
      </c>
      <c r="H4" s="226">
        <f>E4+1</f>
        <v>45259</v>
      </c>
      <c r="I4" s="226"/>
      <c r="J4" s="218" t="s">
        <v>44</v>
      </c>
      <c r="K4" s="232">
        <f>H4+1</f>
        <v>45260</v>
      </c>
      <c r="L4" s="226"/>
      <c r="M4" s="219" t="s">
        <v>44</v>
      </c>
      <c r="N4" s="226">
        <f>K4+1</f>
        <v>45261</v>
      </c>
      <c r="O4" s="226"/>
      <c r="P4" s="218" t="s">
        <v>44</v>
      </c>
      <c r="Q4" s="232">
        <f>N4+1</f>
        <v>45262</v>
      </c>
      <c r="R4" s="226"/>
      <c r="S4" s="219" t="s">
        <v>44</v>
      </c>
      <c r="T4" s="226">
        <f>Q4+1</f>
        <v>45263</v>
      </c>
      <c r="U4" s="226"/>
      <c r="V4" s="219" t="s">
        <v>44</v>
      </c>
      <c r="W4" s="1"/>
    </row>
    <row r="5" spans="1:23" ht="11.25" customHeight="1" x14ac:dyDescent="0.2">
      <c r="A5" s="227" t="s">
        <v>12</v>
      </c>
      <c r="B5" s="209">
        <v>0.72916666666666663</v>
      </c>
      <c r="C5" s="210" t="s">
        <v>35</v>
      </c>
      <c r="D5" s="211">
        <f>IF(C5="","",IFERROR(VLOOKUP(C5,Punktar!$A:$B,2,0),""))</f>
        <v>1</v>
      </c>
      <c r="E5" s="209">
        <v>0.72916666666666663</v>
      </c>
      <c r="F5" s="210" t="s">
        <v>35</v>
      </c>
      <c r="G5" s="211">
        <f>IF(F5="","",IFERROR(VLOOKUP(F5,Punktar!$A:$B,2,0),""))</f>
        <v>1</v>
      </c>
      <c r="H5" s="209">
        <v>0.72916666666666663</v>
      </c>
      <c r="I5" s="210" t="s">
        <v>35</v>
      </c>
      <c r="J5" s="211">
        <f>IF(I5="","",IFERROR(VLOOKUP(I5,Punktar!$A:$B,2,0),""))</f>
        <v>1</v>
      </c>
      <c r="K5" s="209">
        <v>0.72916666666666663</v>
      </c>
      <c r="L5" s="210" t="s">
        <v>35</v>
      </c>
      <c r="M5" s="211">
        <f>IF(L5="","",IFERROR(VLOOKUP(L5,Punktar!$A:$B,2,0),""))</f>
        <v>1</v>
      </c>
      <c r="N5" s="209" t="s">
        <v>182</v>
      </c>
      <c r="O5" s="210" t="s">
        <v>182</v>
      </c>
      <c r="P5" s="211" t="str">
        <f>IF(O5="","",IFERROR(VLOOKUP(O5,Punktar!$A:$B,2,0),""))</f>
        <v/>
      </c>
      <c r="Q5" s="209" t="s">
        <v>182</v>
      </c>
      <c r="R5" s="210" t="s">
        <v>182</v>
      </c>
      <c r="S5" s="211" t="str">
        <f>IF(R5="","",IFERROR(VLOOKUP(R5,Punktar!$A:$B,2,0),""))</f>
        <v/>
      </c>
      <c r="T5" s="209" t="s">
        <v>182</v>
      </c>
      <c r="U5" s="210" t="s">
        <v>182</v>
      </c>
      <c r="V5" s="211" t="str">
        <f>IF(U5="","",IFERROR(VLOOKUP(U5,Punktar!$A:$B,2,0),""))</f>
        <v/>
      </c>
      <c r="W5" s="1"/>
    </row>
    <row r="6" spans="1:23" x14ac:dyDescent="0.2">
      <c r="A6" s="228"/>
      <c r="B6" s="212">
        <v>0.74305555555555547</v>
      </c>
      <c r="C6" s="22" t="s">
        <v>277</v>
      </c>
      <c r="D6" s="213">
        <f>IF(C6="","",IFERROR(VLOOKUP(C6,Punktar!$A:$B,2,0),""))</f>
        <v>2</v>
      </c>
      <c r="E6" s="212">
        <v>0.74305555555555547</v>
      </c>
      <c r="F6" s="22" t="s">
        <v>277</v>
      </c>
      <c r="G6" s="213">
        <f>IF(F6="","",IFERROR(VLOOKUP(F6,Punktar!$A:$B,2,0),""))</f>
        <v>2</v>
      </c>
      <c r="H6" s="212">
        <v>0.74305555555555547</v>
      </c>
      <c r="I6" s="22" t="s">
        <v>277</v>
      </c>
      <c r="J6" s="213">
        <f>IF(I6="","",IFERROR(VLOOKUP(I6,Punktar!$A:$B,2,0),""))</f>
        <v>2</v>
      </c>
      <c r="K6" s="212">
        <v>0.74305555555555547</v>
      </c>
      <c r="L6" s="22" t="s">
        <v>277</v>
      </c>
      <c r="M6" s="213">
        <f>IF(L6="","",IFERROR(VLOOKUP(L6,Punktar!$A:$B,2,0),""))</f>
        <v>2</v>
      </c>
      <c r="N6" s="212" t="s">
        <v>182</v>
      </c>
      <c r="O6" s="22" t="s">
        <v>182</v>
      </c>
      <c r="P6" s="213" t="str">
        <f>IF(O6="","",IFERROR(VLOOKUP(O6,Punktar!$A:$B,2,0),""))</f>
        <v/>
      </c>
      <c r="Q6" s="212" t="s">
        <v>182</v>
      </c>
      <c r="R6" s="22" t="s">
        <v>182</v>
      </c>
      <c r="S6" s="213" t="str">
        <f>IF(R6="","",IFERROR(VLOOKUP(R6,Punktar!$A:$B,2,0),""))</f>
        <v/>
      </c>
      <c r="T6" s="212" t="s">
        <v>182</v>
      </c>
      <c r="U6" s="22" t="s">
        <v>182</v>
      </c>
      <c r="V6" s="213" t="str">
        <f>IF(U6="","",IFERROR(VLOOKUP(U6,Punktar!$A:$B,2,0),""))</f>
        <v/>
      </c>
      <c r="W6" s="1"/>
    </row>
    <row r="7" spans="1:23" x14ac:dyDescent="0.2">
      <c r="A7" s="228"/>
      <c r="B7" s="212">
        <v>0.76736111111111116</v>
      </c>
      <c r="C7" s="22" t="s">
        <v>152</v>
      </c>
      <c r="D7" s="213">
        <f>IF(C7="","",IFERROR(VLOOKUP(C7,Punktar!$A:$B,2,0),""))</f>
        <v>3</v>
      </c>
      <c r="E7" s="212">
        <v>0.76736111111111116</v>
      </c>
      <c r="F7" s="22" t="s">
        <v>152</v>
      </c>
      <c r="G7" s="213">
        <f>IF(F7="","",IFERROR(VLOOKUP(F7,Punktar!$A:$B,2,0),""))</f>
        <v>3</v>
      </c>
      <c r="H7" s="212">
        <v>0.76736111111111116</v>
      </c>
      <c r="I7" s="22" t="s">
        <v>152</v>
      </c>
      <c r="J7" s="213">
        <f>IF(I7="","",IFERROR(VLOOKUP(I7,Punktar!$A:$B,2,0),""))</f>
        <v>3</v>
      </c>
      <c r="K7" s="212">
        <v>0.76736111111111116</v>
      </c>
      <c r="L7" s="22" t="s">
        <v>152</v>
      </c>
      <c r="M7" s="213">
        <f>IF(L7="","",IFERROR(VLOOKUP(L7,Punktar!$A:$B,2,0),""))</f>
        <v>3</v>
      </c>
      <c r="N7" s="212" t="s">
        <v>182</v>
      </c>
      <c r="O7" s="22" t="s">
        <v>182</v>
      </c>
      <c r="P7" s="213" t="str">
        <f>IF(O7="","",IFERROR(VLOOKUP(O7,Punktar!$A:$B,2,0),""))</f>
        <v/>
      </c>
      <c r="Q7" s="212" t="s">
        <v>182</v>
      </c>
      <c r="R7" s="22" t="s">
        <v>182</v>
      </c>
      <c r="S7" s="213" t="str">
        <f>IF(R7="","",IFERROR(VLOOKUP(R7,Punktar!$A:$B,2,0),""))</f>
        <v/>
      </c>
      <c r="T7" s="212" t="s">
        <v>182</v>
      </c>
      <c r="U7" s="22" t="s">
        <v>182</v>
      </c>
      <c r="V7" s="213" t="str">
        <f>IF(U7="","",IFERROR(VLOOKUP(U7,Punktar!$A:$B,2,0),""))</f>
        <v/>
      </c>
      <c r="W7" s="1"/>
    </row>
    <row r="8" spans="1:23" x14ac:dyDescent="0.2">
      <c r="A8" s="228"/>
      <c r="B8" s="212">
        <v>0.77083333333333337</v>
      </c>
      <c r="C8" s="22" t="s">
        <v>37</v>
      </c>
      <c r="D8" s="213">
        <f>IF(C8="","",IFERROR(VLOOKUP(C8,Punktar!$A:$B,2,0),""))</f>
        <v>8</v>
      </c>
      <c r="E8" s="212">
        <v>0.77083333333333337</v>
      </c>
      <c r="F8" s="22" t="s">
        <v>37</v>
      </c>
      <c r="G8" s="213">
        <f>IF(F8="","",IFERROR(VLOOKUP(F8,Punktar!$A:$B,2,0),""))</f>
        <v>8</v>
      </c>
      <c r="H8" s="212">
        <v>0.77083333333333337</v>
      </c>
      <c r="I8" s="22" t="s">
        <v>37</v>
      </c>
      <c r="J8" s="213">
        <f>IF(I8="","",IFERROR(VLOOKUP(I8,Punktar!$A:$B,2,0),""))</f>
        <v>8</v>
      </c>
      <c r="K8" s="212">
        <v>0.77083333333333337</v>
      </c>
      <c r="L8" s="22" t="s">
        <v>37</v>
      </c>
      <c r="M8" s="213">
        <f>IF(L8="","",IFERROR(VLOOKUP(L8,Punktar!$A:$B,2,0),""))</f>
        <v>8</v>
      </c>
      <c r="N8" s="212" t="s">
        <v>182</v>
      </c>
      <c r="O8" s="22" t="s">
        <v>182</v>
      </c>
      <c r="P8" s="213" t="str">
        <f>IF(O8="","",IFERROR(VLOOKUP(O8,Punktar!$A:$B,2,0),""))</f>
        <v/>
      </c>
      <c r="Q8" s="212" t="s">
        <v>182</v>
      </c>
      <c r="R8" s="22" t="s">
        <v>182</v>
      </c>
      <c r="S8" s="213" t="str">
        <f>IF(R8="","",IFERROR(VLOOKUP(R8,Punktar!$A:$B,2,0),""))</f>
        <v/>
      </c>
      <c r="T8" s="212" t="s">
        <v>182</v>
      </c>
      <c r="U8" s="22" t="s">
        <v>182</v>
      </c>
      <c r="V8" s="213" t="str">
        <f>IF(U8="","",IFERROR(VLOOKUP(U8,Punktar!$A:$B,2,0),""))</f>
        <v/>
      </c>
      <c r="W8" s="1"/>
    </row>
    <row r="9" spans="1:23" x14ac:dyDescent="0.2">
      <c r="A9" s="228"/>
      <c r="B9" s="212">
        <v>0.78472222222222221</v>
      </c>
      <c r="C9" s="22" t="s">
        <v>36</v>
      </c>
      <c r="D9" s="213">
        <f>IF(C9="","",IFERROR(VLOOKUP(C9,Punktar!$A:$B,2,0),""))</f>
        <v>6</v>
      </c>
      <c r="E9" s="212">
        <v>0.78472222222222221</v>
      </c>
      <c r="F9" s="22" t="s">
        <v>36</v>
      </c>
      <c r="G9" s="213">
        <f>IF(F9="","",IFERROR(VLOOKUP(F9,Punktar!$A:$B,2,0),""))</f>
        <v>6</v>
      </c>
      <c r="H9" s="212">
        <v>0.78472222222222221</v>
      </c>
      <c r="I9" s="22" t="s">
        <v>36</v>
      </c>
      <c r="J9" s="213">
        <f>IF(I9="","",IFERROR(VLOOKUP(I9,Punktar!$A:$B,2,0),""))</f>
        <v>6</v>
      </c>
      <c r="K9" s="212">
        <v>0.78472222222222221</v>
      </c>
      <c r="L9" s="22" t="s">
        <v>36</v>
      </c>
      <c r="M9" s="213">
        <f>IF(L9="","",IFERROR(VLOOKUP(L9,Punktar!$A:$B,2,0),""))</f>
        <v>6</v>
      </c>
      <c r="N9" s="212" t="s">
        <v>182</v>
      </c>
      <c r="O9" s="22" t="s">
        <v>182</v>
      </c>
      <c r="P9" s="213" t="str">
        <f>IF(O9="","",IFERROR(VLOOKUP(O9,Punktar!$A:$B,2,0),""))</f>
        <v/>
      </c>
      <c r="Q9" s="212" t="s">
        <v>182</v>
      </c>
      <c r="R9" s="22" t="s">
        <v>182</v>
      </c>
      <c r="S9" s="213" t="str">
        <f>IF(R9="","",IFERROR(VLOOKUP(R9,Punktar!$A:$B,2,0),""))</f>
        <v/>
      </c>
      <c r="T9" s="212" t="s">
        <v>182</v>
      </c>
      <c r="U9" s="22" t="s">
        <v>182</v>
      </c>
      <c r="V9" s="213" t="str">
        <f>IF(U9="","",IFERROR(VLOOKUP(U9,Punktar!$A:$B,2,0),""))</f>
        <v/>
      </c>
      <c r="W9" s="1"/>
    </row>
    <row r="10" spans="1:23" x14ac:dyDescent="0.2">
      <c r="A10" s="228"/>
      <c r="B10" s="212">
        <v>0.78819444444444453</v>
      </c>
      <c r="C10" s="22" t="s">
        <v>148</v>
      </c>
      <c r="D10" s="213" t="str">
        <f>IF(C10="","",IFERROR(VLOOKUP(C10,Punktar!$A:$B,2,0),""))</f>
        <v>-</v>
      </c>
      <c r="E10" s="212">
        <v>0.78819444444444453</v>
      </c>
      <c r="F10" s="22" t="s">
        <v>148</v>
      </c>
      <c r="G10" s="213" t="str">
        <f>IF(F10="","",IFERROR(VLOOKUP(F10,Punktar!$A:$B,2,0),""))</f>
        <v>-</v>
      </c>
      <c r="H10" s="212">
        <v>0.78819444444444453</v>
      </c>
      <c r="I10" s="22" t="s">
        <v>148</v>
      </c>
      <c r="J10" s="213" t="str">
        <f>IF(I10="","",IFERROR(VLOOKUP(I10,Punktar!$A:$B,2,0),""))</f>
        <v>-</v>
      </c>
      <c r="K10" s="212">
        <v>0.78819444444444453</v>
      </c>
      <c r="L10" s="22" t="s">
        <v>148</v>
      </c>
      <c r="M10" s="213" t="str">
        <f>IF(L10="","",IFERROR(VLOOKUP(L10,Punktar!$A:$B,2,0),""))</f>
        <v>-</v>
      </c>
      <c r="N10" s="212" t="s">
        <v>182</v>
      </c>
      <c r="O10" s="22" t="s">
        <v>182</v>
      </c>
      <c r="P10" s="213" t="str">
        <f>IF(O10="","",IFERROR(VLOOKUP(O10,Punktar!$A:$B,2,0),""))</f>
        <v/>
      </c>
      <c r="Q10" s="212" t="s">
        <v>182</v>
      </c>
      <c r="R10" s="22" t="s">
        <v>182</v>
      </c>
      <c r="S10" s="213" t="str">
        <f>IF(R10="","",IFERROR(VLOOKUP(R10,Punktar!$A:$B,2,0),""))</f>
        <v/>
      </c>
      <c r="T10" s="212" t="s">
        <v>182</v>
      </c>
      <c r="U10" s="22" t="s">
        <v>182</v>
      </c>
      <c r="V10" s="213" t="str">
        <f>IF(U10="","",IFERROR(VLOOKUP(U10,Punktar!$A:$B,2,0),""))</f>
        <v/>
      </c>
      <c r="W10" s="1"/>
    </row>
    <row r="11" spans="1:23" x14ac:dyDescent="0.2">
      <c r="A11" s="228"/>
      <c r="B11" s="212">
        <v>0.79513888888888884</v>
      </c>
      <c r="C11" s="22" t="s">
        <v>295</v>
      </c>
      <c r="D11" s="213">
        <f>IF(C11="","",IFERROR(VLOOKUP(C11,Punktar!$A:$B,2,0),""))</f>
        <v>2</v>
      </c>
      <c r="E11" s="212">
        <v>0.79861111111111116</v>
      </c>
      <c r="F11" s="22" t="s">
        <v>227</v>
      </c>
      <c r="G11" s="213">
        <f>IF(F11="","",IFERROR(VLOOKUP(F11,Punktar!$A:$B,2,0),""))</f>
        <v>3</v>
      </c>
      <c r="H11" s="212">
        <v>0.79861111111111116</v>
      </c>
      <c r="I11" s="22" t="s">
        <v>175</v>
      </c>
      <c r="J11" s="213">
        <f>IF(I11="","",IFERROR(VLOOKUP(I11,Punktar!$A:$B,2,0),""))</f>
        <v>2</v>
      </c>
      <c r="K11" s="212">
        <v>0.79861111111111116</v>
      </c>
      <c r="L11" s="22" t="s">
        <v>203</v>
      </c>
      <c r="M11" s="213">
        <f>IF(L11="","",IFERROR(VLOOKUP(L11,Punktar!$A:$B,2,0),""))</f>
        <v>2</v>
      </c>
      <c r="N11" s="212" t="s">
        <v>182</v>
      </c>
      <c r="O11" s="22" t="s">
        <v>182</v>
      </c>
      <c r="P11" s="213" t="str">
        <f>IF(O11="","",IFERROR(VLOOKUP(O11,Punktar!$A:$B,2,0),""))</f>
        <v/>
      </c>
      <c r="Q11" s="212" t="s">
        <v>182</v>
      </c>
      <c r="R11" s="22" t="s">
        <v>182</v>
      </c>
      <c r="S11" s="213" t="str">
        <f>IF(R11="","",IFERROR(VLOOKUP(R11,Punktar!$A:$B,2,0),""))</f>
        <v/>
      </c>
      <c r="T11" s="212" t="s">
        <v>182</v>
      </c>
      <c r="U11" s="22" t="s">
        <v>182</v>
      </c>
      <c r="V11" s="213" t="str">
        <f>IF(U11="","",IFERROR(VLOOKUP(U11,Punktar!$A:$B,2,0),""))</f>
        <v/>
      </c>
      <c r="W11" s="1"/>
    </row>
    <row r="12" spans="1:23" x14ac:dyDescent="0.2">
      <c r="A12" s="228"/>
      <c r="B12" s="212">
        <v>0.82986111111111116</v>
      </c>
      <c r="C12" s="22" t="s">
        <v>288</v>
      </c>
      <c r="D12" s="213">
        <f>IF(C12="","",IFERROR(VLOOKUP(C12,Punktar!$A:$B,2,0),""))</f>
        <v>2</v>
      </c>
      <c r="E12" s="212">
        <v>0.82986111111111116</v>
      </c>
      <c r="F12" s="22" t="s">
        <v>186</v>
      </c>
      <c r="G12" s="213">
        <f>IF(F12="","",IFERROR(VLOOKUP(F12,Punktar!$A:$B,2,0),""))</f>
        <v>2</v>
      </c>
      <c r="H12" s="212">
        <v>0.84027777777777779</v>
      </c>
      <c r="I12" s="22" t="s">
        <v>301</v>
      </c>
      <c r="J12" s="213">
        <f>IF(I12="","",IFERROR(VLOOKUP(I12,Punktar!$A:$B,2,0),""))</f>
        <v>2</v>
      </c>
      <c r="K12" s="212">
        <v>0.82986111111111116</v>
      </c>
      <c r="L12" s="22" t="s">
        <v>278</v>
      </c>
      <c r="M12" s="213">
        <f>IF(L12="","",IFERROR(VLOOKUP(L12,Punktar!$A:$B,2,0),""))</f>
        <v>2</v>
      </c>
      <c r="N12" s="212" t="s">
        <v>182</v>
      </c>
      <c r="O12" s="22" t="s">
        <v>182</v>
      </c>
      <c r="P12" s="213" t="str">
        <f>IF(O12="","",IFERROR(VLOOKUP(O12,Punktar!$A:$B,2,0),""))</f>
        <v/>
      </c>
      <c r="Q12" s="212" t="s">
        <v>182</v>
      </c>
      <c r="R12" s="22" t="s">
        <v>182</v>
      </c>
      <c r="S12" s="213" t="str">
        <f>IF(R12="","",IFERROR(VLOOKUP(R12,Punktar!$A:$B,2,0),""))</f>
        <v/>
      </c>
      <c r="T12" s="212" t="s">
        <v>182</v>
      </c>
      <c r="U12" s="22" t="s">
        <v>182</v>
      </c>
      <c r="V12" s="213" t="str">
        <f>IF(U12="","",IFERROR(VLOOKUP(U12,Punktar!$A:$B,2,0),""))</f>
        <v/>
      </c>
      <c r="W12" s="1"/>
    </row>
    <row r="13" spans="1:23" x14ac:dyDescent="0.2">
      <c r="A13" s="228"/>
      <c r="B13" s="212">
        <v>0.86458333333333337</v>
      </c>
      <c r="C13" s="22" t="s">
        <v>241</v>
      </c>
      <c r="D13" s="213">
        <f>IF(C13="","",IFERROR(VLOOKUP(C13,Punktar!$A:$B,2,0),""))</f>
        <v>2</v>
      </c>
      <c r="E13" s="212">
        <v>0.86111111111111116</v>
      </c>
      <c r="F13" s="22" t="s">
        <v>296</v>
      </c>
      <c r="G13" s="213">
        <f>IF(F13="","",IFERROR(VLOOKUP(F13,Punktar!$A:$B,2,0),""))</f>
        <v>2</v>
      </c>
      <c r="H13" s="212">
        <v>0.90277777777777779</v>
      </c>
      <c r="I13" s="22" t="s">
        <v>242</v>
      </c>
      <c r="J13" s="213">
        <f>IF(I13="","",IFERROR(VLOOKUP(I13,Punktar!$A:$B,2,0),""))</f>
        <v>2</v>
      </c>
      <c r="K13" s="212">
        <v>0.875</v>
      </c>
      <c r="L13" s="22" t="s">
        <v>190</v>
      </c>
      <c r="M13" s="213">
        <f>IF(L13="","",IFERROR(VLOOKUP(L13,Punktar!$A:$B,2,0),""))</f>
        <v>2</v>
      </c>
      <c r="N13" s="212" t="s">
        <v>182</v>
      </c>
      <c r="O13" s="22" t="s">
        <v>182</v>
      </c>
      <c r="P13" s="213" t="str">
        <f>IF(O13="","",IFERROR(VLOOKUP(O13,Punktar!$A:$B,2,0),""))</f>
        <v/>
      </c>
      <c r="Q13" s="212" t="s">
        <v>182</v>
      </c>
      <c r="R13" s="22" t="s">
        <v>182</v>
      </c>
      <c r="S13" s="213" t="str">
        <f>IF(R13="","",IFERROR(VLOOKUP(R13,Punktar!$A:$B,2,0),""))</f>
        <v/>
      </c>
      <c r="T13" s="212" t="s">
        <v>182</v>
      </c>
      <c r="U13" s="22" t="s">
        <v>182</v>
      </c>
      <c r="V13" s="213" t="str">
        <f>IF(U13="","",IFERROR(VLOOKUP(U13,Punktar!$A:$B,2,0),""))</f>
        <v/>
      </c>
      <c r="W13" s="1"/>
    </row>
    <row r="14" spans="1:23" x14ac:dyDescent="0.2">
      <c r="A14" s="228"/>
      <c r="B14" s="212">
        <v>0.90972222222222221</v>
      </c>
      <c r="C14" s="22" t="s">
        <v>210</v>
      </c>
      <c r="D14" s="213">
        <f>IF(C14="","",IFERROR(VLOOKUP(C14,Punktar!$A:$B,2,0),""))</f>
        <v>1</v>
      </c>
      <c r="E14" s="212">
        <v>0.89583333333333337</v>
      </c>
      <c r="F14" s="22" t="s">
        <v>187</v>
      </c>
      <c r="G14" s="213">
        <f>IF(F14="","",IFERROR(VLOOKUP(F14,Punktar!$A:$B,2,0),""))</f>
        <v>1</v>
      </c>
      <c r="H14" s="212">
        <v>0.94444444444444453</v>
      </c>
      <c r="I14" s="22" t="s">
        <v>211</v>
      </c>
      <c r="J14" s="213">
        <f>IF(I14="","",IFERROR(VLOOKUP(I14,Punktar!$A:$B,2,0),""))</f>
        <v>2</v>
      </c>
      <c r="K14" s="212">
        <v>0.90625</v>
      </c>
      <c r="L14" s="22" t="s">
        <v>243</v>
      </c>
      <c r="M14" s="213">
        <f>IF(L14="","",IFERROR(VLOOKUP(L14,Punktar!$A:$B,2,0),""))</f>
        <v>2</v>
      </c>
      <c r="N14" s="212" t="s">
        <v>182</v>
      </c>
      <c r="O14" s="22" t="s">
        <v>182</v>
      </c>
      <c r="P14" s="213" t="str">
        <f>IF(O14="","",IFERROR(VLOOKUP(O14,Punktar!$A:$B,2,0),""))</f>
        <v/>
      </c>
      <c r="Q14" s="212" t="s">
        <v>182</v>
      </c>
      <c r="R14" s="22" t="s">
        <v>182</v>
      </c>
      <c r="S14" s="213" t="str">
        <f>IF(R14="","",IFERROR(VLOOKUP(R14,Punktar!$A:$B,2,0),""))</f>
        <v/>
      </c>
      <c r="T14" s="212" t="s">
        <v>182</v>
      </c>
      <c r="U14" s="22" t="s">
        <v>182</v>
      </c>
      <c r="V14" s="213" t="str">
        <f>IF(U14="","",IFERROR(VLOOKUP(U14,Punktar!$A:$B,2,0),""))</f>
        <v/>
      </c>
      <c r="W14" s="1"/>
    </row>
    <row r="15" spans="1:23" x14ac:dyDescent="0.2">
      <c r="A15" s="228"/>
      <c r="B15" s="212">
        <v>0.92708333333333337</v>
      </c>
      <c r="C15" s="22" t="s">
        <v>210</v>
      </c>
      <c r="D15" s="213">
        <f>IF(C15="","",IFERROR(VLOOKUP(C15,Punktar!$A:$B,2,0),""))</f>
        <v>1</v>
      </c>
      <c r="E15" s="212">
        <v>0.91319444444444453</v>
      </c>
      <c r="F15" s="22" t="s">
        <v>210</v>
      </c>
      <c r="G15" s="213">
        <f>IF(F15="","",IFERROR(VLOOKUP(F15,Punktar!$A:$B,2,0),""))</f>
        <v>1</v>
      </c>
      <c r="H15" s="212">
        <v>0.95833333333333337</v>
      </c>
      <c r="I15" s="22" t="s">
        <v>300</v>
      </c>
      <c r="J15" s="213">
        <f>IF(I15="","",IFERROR(VLOOKUP(I15,Punktar!$A:$B,2,0),""))</f>
        <v>2</v>
      </c>
      <c r="K15" s="212">
        <v>0.9375</v>
      </c>
      <c r="L15" s="22" t="s">
        <v>210</v>
      </c>
      <c r="M15" s="213">
        <f>IF(L15="","",IFERROR(VLOOKUP(L15,Punktar!$A:$B,2,0),""))</f>
        <v>1</v>
      </c>
      <c r="N15" s="212" t="s">
        <v>182</v>
      </c>
      <c r="O15" s="22" t="s">
        <v>182</v>
      </c>
      <c r="P15" s="213" t="str">
        <f>IF(O15="","",IFERROR(VLOOKUP(O15,Punktar!$A:$B,2,0),""))</f>
        <v/>
      </c>
      <c r="Q15" s="212" t="s">
        <v>182</v>
      </c>
      <c r="R15" s="22" t="s">
        <v>182</v>
      </c>
      <c r="S15" s="213" t="str">
        <f>IF(R15="","",IFERROR(VLOOKUP(R15,Punktar!$A:$B,2,0),""))</f>
        <v/>
      </c>
      <c r="T15" s="212" t="s">
        <v>182</v>
      </c>
      <c r="U15" s="22" t="s">
        <v>182</v>
      </c>
      <c r="V15" s="213" t="str">
        <f>IF(U15="","",IFERROR(VLOOKUP(U15,Punktar!$A:$B,2,0),""))</f>
        <v/>
      </c>
      <c r="W15" s="1"/>
    </row>
    <row r="16" spans="1:23" x14ac:dyDescent="0.2">
      <c r="A16" s="228"/>
      <c r="B16" s="212" t="s">
        <v>182</v>
      </c>
      <c r="C16" s="22" t="s">
        <v>182</v>
      </c>
      <c r="D16" s="213" t="str">
        <f>IF(C16="","",IFERROR(VLOOKUP(C16,Punktar!$A:$B,2,0),""))</f>
        <v/>
      </c>
      <c r="E16" s="212">
        <v>0.93055555555555547</v>
      </c>
      <c r="F16" s="22" t="s">
        <v>210</v>
      </c>
      <c r="G16" s="213">
        <f>IF(F16="","",IFERROR(VLOOKUP(F16,Punktar!$A:$B,2,0),""))</f>
        <v>1</v>
      </c>
      <c r="H16" s="212">
        <v>0.97916666666666663</v>
      </c>
      <c r="I16" s="22" t="s">
        <v>210</v>
      </c>
      <c r="J16" s="213">
        <f>IF(I16="","",IFERROR(VLOOKUP(I16,Punktar!$A:$B,2,0),""))</f>
        <v>1</v>
      </c>
      <c r="K16" s="212">
        <v>0.95833333333333337</v>
      </c>
      <c r="L16" s="22" t="s">
        <v>210</v>
      </c>
      <c r="M16" s="213">
        <f>IF(L16="","",IFERROR(VLOOKUP(L16,Punktar!$A:$B,2,0),""))</f>
        <v>1</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1"/>
    </row>
    <row r="17" spans="1:23" x14ac:dyDescent="0.2">
      <c r="A17" s="228"/>
      <c r="B17" s="212" t="s">
        <v>182</v>
      </c>
      <c r="C17" s="22" t="s">
        <v>182</v>
      </c>
      <c r="D17" s="213" t="str">
        <f>IF(C17="","",IFERROR(VLOOKUP(C17,Punktar!$A:$B,2,0),""))</f>
        <v/>
      </c>
      <c r="E17" s="212">
        <v>0.94791666666666663</v>
      </c>
      <c r="F17" s="22" t="s">
        <v>324</v>
      </c>
      <c r="G17" s="213" t="str">
        <f>IF(F17="","",IFERROR(VLOOKUP(F17,Punktar!$A:$B,2,0),""))</f>
        <v/>
      </c>
      <c r="H17" s="212">
        <v>0.99652777777777779</v>
      </c>
      <c r="I17" s="22" t="s">
        <v>210</v>
      </c>
      <c r="J17" s="213">
        <f>IF(I17="","",IFERROR(VLOOKUP(I17,Punktar!$A:$B,2,0),""))</f>
        <v>1</v>
      </c>
      <c r="K17" s="212">
        <v>0.98611111111111116</v>
      </c>
      <c r="L17" s="22" t="s">
        <v>268</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1"/>
    </row>
    <row r="18" spans="1:23" x14ac:dyDescent="0.2">
      <c r="A18" s="228"/>
      <c r="B18" s="212" t="s">
        <v>182</v>
      </c>
      <c r="C18" s="22" t="s">
        <v>182</v>
      </c>
      <c r="D18" s="213" t="str">
        <f>IF(C18="","",IFERROR(VLOOKUP(C18,Punktar!$A:$B,2,0),""))</f>
        <v/>
      </c>
      <c r="E18" s="212">
        <v>0.96527777777777779</v>
      </c>
      <c r="F18" s="22" t="s">
        <v>259</v>
      </c>
      <c r="G18" s="213" t="str">
        <f>IF(F18="","",IFERROR(VLOOKUP(F18,Punktar!$A:$B,2,0),""))</f>
        <v/>
      </c>
      <c r="H18" s="212" t="s">
        <v>182</v>
      </c>
      <c r="I18" s="22" t="s">
        <v>182</v>
      </c>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1"/>
    </row>
    <row r="19" spans="1:23" x14ac:dyDescent="0.2">
      <c r="A19" s="228"/>
      <c r="B19" s="212" t="s">
        <v>182</v>
      </c>
      <c r="C19" s="22" t="s">
        <v>182</v>
      </c>
      <c r="D19" s="213" t="str">
        <f>IF(C19="","",IFERROR(VLOOKUP(C19,Punktar!$A:$B,2,0),""))</f>
        <v/>
      </c>
      <c r="E19" s="212" t="s">
        <v>182</v>
      </c>
      <c r="F19" s="22" t="s">
        <v>182</v>
      </c>
      <c r="G19" s="213" t="str">
        <f>IF(F19="","",IFERROR(VLOOKUP(F19,Punktar!$A:$B,2,0),""))</f>
        <v/>
      </c>
      <c r="H19" s="212" t="s">
        <v>182</v>
      </c>
      <c r="I19" s="22" t="s">
        <v>182</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1"/>
    </row>
    <row r="20" spans="1:23" x14ac:dyDescent="0.2">
      <c r="A20" s="229"/>
      <c r="B20" s="214" t="s">
        <v>182</v>
      </c>
      <c r="C20" s="215" t="s">
        <v>182</v>
      </c>
      <c r="D20" s="216" t="str">
        <f>IF(C20="","",IFERROR(VLOOKUP(C20,Punktar!$A:$B,2,0),""))</f>
        <v/>
      </c>
      <c r="E20" s="214" t="s">
        <v>182</v>
      </c>
      <c r="F20" s="215" t="s">
        <v>182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1"/>
    </row>
    <row r="21" spans="1:23" x14ac:dyDescent="0.2">
      <c r="A21" s="19"/>
      <c r="B21" s="206"/>
      <c r="C21" s="207"/>
      <c r="D21" s="208"/>
      <c r="E21" s="206"/>
      <c r="F21" s="207"/>
      <c r="G21" s="208"/>
      <c r="H21" s="206"/>
      <c r="I21" s="207"/>
      <c r="J21" s="208"/>
      <c r="K21" s="206"/>
      <c r="L21" s="207"/>
      <c r="M21" s="208"/>
      <c r="N21" s="206"/>
      <c r="O21" s="207"/>
      <c r="P21" s="208"/>
      <c r="Q21" s="206"/>
      <c r="R21" s="207"/>
      <c r="S21" s="208"/>
      <c r="T21" s="206"/>
      <c r="U21" s="207"/>
      <c r="V21" s="208"/>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8" priority="1" operator="containsText" text=" YYY">
      <formula>NOT(ISERROR(SEARCH(" YYY",B5)))</formula>
    </cfRule>
  </conditionalFormatting>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8B4D0-88D6-4ADF-8304-D128FEE4D058}">
  <sheetPr>
    <tabColor theme="9"/>
  </sheetPr>
  <dimension ref="A1:W70"/>
  <sheetViews>
    <sheetView showGridLines="0" showRowColHeaders="0" workbookViewId="0">
      <pane xSplit="1" ySplit="4" topLeftCell="B5" activePane="bottomRight" state="frozen"/>
      <selection activeCell="F11" sqref="F11"/>
      <selection pane="topRight" activeCell="F11" sqref="F11"/>
      <selection pane="bottomLeft" activeCell="F11" sqref="F11"/>
      <selection pane="bottomRight" activeCell="A4" sqref="A4:V20"/>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Desember 2023 | Vika 49</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48'!T4+1</f>
        <v>45264</v>
      </c>
      <c r="C4" s="226"/>
      <c r="D4" s="218" t="s">
        <v>44</v>
      </c>
      <c r="E4" s="232">
        <f>B4+1</f>
        <v>45265</v>
      </c>
      <c r="F4" s="226"/>
      <c r="G4" s="219" t="s">
        <v>44</v>
      </c>
      <c r="H4" s="226">
        <f>E4+1</f>
        <v>45266</v>
      </c>
      <c r="I4" s="226"/>
      <c r="J4" s="218" t="s">
        <v>44</v>
      </c>
      <c r="K4" s="232">
        <f>H4+1</f>
        <v>45267</v>
      </c>
      <c r="L4" s="226"/>
      <c r="M4" s="219" t="s">
        <v>44</v>
      </c>
      <c r="N4" s="226"/>
      <c r="O4" s="226"/>
      <c r="P4" s="218"/>
      <c r="Q4" s="232"/>
      <c r="R4" s="226"/>
      <c r="S4" s="219"/>
      <c r="T4" s="226"/>
      <c r="U4" s="226"/>
      <c r="V4" s="219"/>
      <c r="W4" s="61"/>
    </row>
    <row r="5" spans="1:23" ht="11.25" customHeight="1" x14ac:dyDescent="0.2">
      <c r="A5" s="227" t="s">
        <v>12</v>
      </c>
      <c r="B5" s="209" t="s">
        <v>182</v>
      </c>
      <c r="C5" s="210" t="s">
        <v>182</v>
      </c>
      <c r="D5" s="211" t="str">
        <f>IF(C5="","",IFERROR(VLOOKUP(C5,Punktar!$A:$B,2,0),""))</f>
        <v/>
      </c>
      <c r="E5" s="209" t="s">
        <v>182</v>
      </c>
      <c r="F5" s="210" t="s">
        <v>182</v>
      </c>
      <c r="G5" s="211" t="str">
        <f>IF(F5="","",IFERROR(VLOOKUP(F5,Punktar!$A:$B,2,0),""))</f>
        <v/>
      </c>
      <c r="H5" s="209" t="s">
        <v>182</v>
      </c>
      <c r="I5" s="210" t="s">
        <v>182</v>
      </c>
      <c r="J5" s="211" t="str">
        <f>IF(I5="","",IFERROR(VLOOKUP(I5,Punktar!$A:$B,2,0),""))</f>
        <v/>
      </c>
      <c r="K5" s="209" t="s">
        <v>182</v>
      </c>
      <c r="L5" s="210" t="s">
        <v>182</v>
      </c>
      <c r="M5" s="211" t="str">
        <f>IF(L5="","",IFERROR(VLOOKUP(L5,Punktar!$A:$B,2,0),""))</f>
        <v/>
      </c>
      <c r="N5" s="209" t="s">
        <v>182</v>
      </c>
      <c r="O5" s="210" t="s">
        <v>182</v>
      </c>
      <c r="P5" s="211" t="str">
        <f>IF(O5="","",IFERROR(VLOOKUP(O5,Punktar!$A:$B,2,0),""))</f>
        <v/>
      </c>
      <c r="Q5" s="209" t="s">
        <v>182</v>
      </c>
      <c r="R5" s="210" t="s">
        <v>182</v>
      </c>
      <c r="S5" s="211" t="str">
        <f>IF(R5="","",IFERROR(VLOOKUP(R5,Punktar!$A:$B,2,0),""))</f>
        <v/>
      </c>
      <c r="T5" s="209" t="s">
        <v>182</v>
      </c>
      <c r="U5" s="210" t="s">
        <v>182</v>
      </c>
      <c r="V5" s="211" t="str">
        <f>IF(U5="","",IFERROR(VLOOKUP(U5,Punktar!$A:$B,2,0),""))</f>
        <v/>
      </c>
      <c r="W5" s="61"/>
    </row>
    <row r="6" spans="1:23" x14ac:dyDescent="0.2">
      <c r="A6" s="228"/>
      <c r="B6" s="212" t="s">
        <v>182</v>
      </c>
      <c r="C6" s="22" t="s">
        <v>182</v>
      </c>
      <c r="D6" s="213" t="str">
        <f>IF(C6="","",IFERROR(VLOOKUP(C6,Punktar!$A:$B,2,0),""))</f>
        <v/>
      </c>
      <c r="E6" s="212" t="s">
        <v>182</v>
      </c>
      <c r="F6" s="22" t="s">
        <v>182</v>
      </c>
      <c r="G6" s="213" t="str">
        <f>IF(F6="","",IFERROR(VLOOKUP(F6,Punktar!$A:$B,2,0),""))</f>
        <v/>
      </c>
      <c r="H6" s="212" t="s">
        <v>182</v>
      </c>
      <c r="I6" s="22" t="s">
        <v>182</v>
      </c>
      <c r="J6" s="213" t="str">
        <f>IF(I6="","",IFERROR(VLOOKUP(I6,Punktar!$A:$B,2,0),""))</f>
        <v/>
      </c>
      <c r="K6" s="212" t="s">
        <v>182</v>
      </c>
      <c r="L6" s="22" t="s">
        <v>182</v>
      </c>
      <c r="M6" s="213" t="str">
        <f>IF(L6="","",IFERROR(VLOOKUP(L6,Punktar!$A:$B,2,0),""))</f>
        <v/>
      </c>
      <c r="N6" s="212" t="s">
        <v>182</v>
      </c>
      <c r="O6" s="22" t="s">
        <v>182</v>
      </c>
      <c r="P6" s="213" t="str">
        <f>IF(O6="","",IFERROR(VLOOKUP(O6,Punktar!$A:$B,2,0),""))</f>
        <v/>
      </c>
      <c r="Q6" s="212" t="s">
        <v>182</v>
      </c>
      <c r="R6" s="22" t="s">
        <v>182</v>
      </c>
      <c r="S6" s="213" t="str">
        <f>IF(R6="","",IFERROR(VLOOKUP(R6,Punktar!$A:$B,2,0),""))</f>
        <v/>
      </c>
      <c r="T6" s="212" t="s">
        <v>182</v>
      </c>
      <c r="U6" s="22" t="s">
        <v>182</v>
      </c>
      <c r="V6" s="213" t="str">
        <f>IF(U6="","",IFERROR(VLOOKUP(U6,Punktar!$A:$B,2,0),""))</f>
        <v/>
      </c>
      <c r="W6" s="61"/>
    </row>
    <row r="7" spans="1:23" x14ac:dyDescent="0.2">
      <c r="A7" s="228"/>
      <c r="B7" s="212" t="s">
        <v>182</v>
      </c>
      <c r="C7" s="22" t="s">
        <v>182</v>
      </c>
      <c r="D7" s="213" t="str">
        <f>IF(C7="","",IFERROR(VLOOKUP(C7,Punktar!$A:$B,2,0),""))</f>
        <v/>
      </c>
      <c r="E7" s="212" t="s">
        <v>182</v>
      </c>
      <c r="F7" s="22" t="s">
        <v>182</v>
      </c>
      <c r="G7" s="213" t="str">
        <f>IF(F7="","",IFERROR(VLOOKUP(F7,Punktar!$A:$B,2,0),""))</f>
        <v/>
      </c>
      <c r="H7" s="212" t="s">
        <v>182</v>
      </c>
      <c r="I7" s="22" t="s">
        <v>182</v>
      </c>
      <c r="J7" s="213" t="str">
        <f>IF(I7="","",IFERROR(VLOOKUP(I7,Punktar!$A:$B,2,0),""))</f>
        <v/>
      </c>
      <c r="K7" s="212" t="s">
        <v>182</v>
      </c>
      <c r="L7" s="22" t="s">
        <v>182</v>
      </c>
      <c r="M7" s="213" t="str">
        <f>IF(L7="","",IFERROR(VLOOKUP(L7,Punktar!$A:$B,2,0),""))</f>
        <v/>
      </c>
      <c r="N7" s="212" t="s">
        <v>182</v>
      </c>
      <c r="O7" s="22" t="s">
        <v>182</v>
      </c>
      <c r="P7" s="213" t="str">
        <f>IF(O7="","",IFERROR(VLOOKUP(O7,Punktar!$A:$B,2,0),""))</f>
        <v/>
      </c>
      <c r="Q7" s="212" t="s">
        <v>182</v>
      </c>
      <c r="R7" s="22" t="s">
        <v>182</v>
      </c>
      <c r="S7" s="213" t="str">
        <f>IF(R7="","",IFERROR(VLOOKUP(R7,Punktar!$A:$B,2,0),""))</f>
        <v/>
      </c>
      <c r="T7" s="212" t="s">
        <v>182</v>
      </c>
      <c r="U7" s="22" t="s">
        <v>182</v>
      </c>
      <c r="V7" s="213" t="str">
        <f>IF(U7="","",IFERROR(VLOOKUP(U7,Punktar!$A:$B,2,0),""))</f>
        <v/>
      </c>
      <c r="W7" s="61"/>
    </row>
    <row r="8" spans="1:23" x14ac:dyDescent="0.2">
      <c r="A8" s="228"/>
      <c r="B8" s="212" t="s">
        <v>182</v>
      </c>
      <c r="C8" s="22" t="s">
        <v>182</v>
      </c>
      <c r="D8" s="213" t="str">
        <f>IF(C8="","",IFERROR(VLOOKUP(C8,Punktar!$A:$B,2,0),""))</f>
        <v/>
      </c>
      <c r="E8" s="212" t="s">
        <v>182</v>
      </c>
      <c r="F8" s="22" t="s">
        <v>182</v>
      </c>
      <c r="G8" s="213" t="str">
        <f>IF(F8="","",IFERROR(VLOOKUP(F8,Punktar!$A:$B,2,0),""))</f>
        <v/>
      </c>
      <c r="H8" s="212" t="s">
        <v>182</v>
      </c>
      <c r="I8" s="22" t="s">
        <v>182</v>
      </c>
      <c r="J8" s="213" t="str">
        <f>IF(I8="","",IFERROR(VLOOKUP(I8,Punktar!$A:$B,2,0),""))</f>
        <v/>
      </c>
      <c r="K8" s="212" t="s">
        <v>182</v>
      </c>
      <c r="L8" s="22" t="s">
        <v>182</v>
      </c>
      <c r="M8" s="213" t="str">
        <f>IF(L8="","",IFERROR(VLOOKUP(L8,Punktar!$A:$B,2,0),""))</f>
        <v/>
      </c>
      <c r="N8" s="212" t="s">
        <v>182</v>
      </c>
      <c r="O8" s="22" t="s">
        <v>182</v>
      </c>
      <c r="P8" s="213" t="str">
        <f>IF(O8="","",IFERROR(VLOOKUP(O8,Punktar!$A:$B,2,0),""))</f>
        <v/>
      </c>
      <c r="Q8" s="212" t="s">
        <v>182</v>
      </c>
      <c r="R8" s="22" t="s">
        <v>182</v>
      </c>
      <c r="S8" s="213" t="str">
        <f>IF(R8="","",IFERROR(VLOOKUP(R8,Punktar!$A:$B,2,0),""))</f>
        <v/>
      </c>
      <c r="T8" s="212" t="s">
        <v>182</v>
      </c>
      <c r="U8" s="22" t="s">
        <v>182</v>
      </c>
      <c r="V8" s="213" t="str">
        <f>IF(U8="","",IFERROR(VLOOKUP(U8,Punktar!$A:$B,2,0),""))</f>
        <v/>
      </c>
      <c r="W8" s="61"/>
    </row>
    <row r="9" spans="1:23" x14ac:dyDescent="0.2">
      <c r="A9" s="228"/>
      <c r="B9" s="212" t="s">
        <v>182</v>
      </c>
      <c r="C9" s="22" t="s">
        <v>182</v>
      </c>
      <c r="D9" s="213" t="str">
        <f>IF(C9="","",IFERROR(VLOOKUP(C9,Punktar!$A:$B,2,0),""))</f>
        <v/>
      </c>
      <c r="E9" s="212" t="s">
        <v>182</v>
      </c>
      <c r="F9" s="22" t="s">
        <v>182</v>
      </c>
      <c r="G9" s="213" t="str">
        <f>IF(F9="","",IFERROR(VLOOKUP(F9,Punktar!$A:$B,2,0),""))</f>
        <v/>
      </c>
      <c r="H9" s="212" t="s">
        <v>182</v>
      </c>
      <c r="I9" s="22" t="s">
        <v>182</v>
      </c>
      <c r="J9" s="213" t="str">
        <f>IF(I9="","",IFERROR(VLOOKUP(I9,Punktar!$A:$B,2,0),""))</f>
        <v/>
      </c>
      <c r="K9" s="212" t="s">
        <v>182</v>
      </c>
      <c r="L9" s="22" t="s">
        <v>182</v>
      </c>
      <c r="M9" s="213" t="str">
        <f>IF(L9="","",IFERROR(VLOOKUP(L9,Punktar!$A:$B,2,0),""))</f>
        <v/>
      </c>
      <c r="N9" s="212" t="s">
        <v>182</v>
      </c>
      <c r="O9" s="22" t="s">
        <v>182</v>
      </c>
      <c r="P9" s="213" t="str">
        <f>IF(O9="","",IFERROR(VLOOKUP(O9,Punktar!$A:$B,2,0),""))</f>
        <v/>
      </c>
      <c r="Q9" s="212" t="s">
        <v>182</v>
      </c>
      <c r="R9" s="22" t="s">
        <v>182</v>
      </c>
      <c r="S9" s="213" t="str">
        <f>IF(R9="","",IFERROR(VLOOKUP(R9,Punktar!$A:$B,2,0),""))</f>
        <v/>
      </c>
      <c r="T9" s="212" t="s">
        <v>182</v>
      </c>
      <c r="U9" s="22" t="s">
        <v>182</v>
      </c>
      <c r="V9" s="213" t="str">
        <f>IF(U9="","",IFERROR(VLOOKUP(U9,Punktar!$A:$B,2,0),""))</f>
        <v/>
      </c>
      <c r="W9" s="61"/>
    </row>
    <row r="10" spans="1:23" x14ac:dyDescent="0.2">
      <c r="A10" s="228"/>
      <c r="B10" s="212" t="s">
        <v>182</v>
      </c>
      <c r="C10" s="22" t="s">
        <v>182</v>
      </c>
      <c r="D10" s="213" t="str">
        <f>IF(C10="","",IFERROR(VLOOKUP(C10,Punktar!$A:$B,2,0),""))</f>
        <v/>
      </c>
      <c r="E10" s="212" t="s">
        <v>182</v>
      </c>
      <c r="F10" s="22" t="s">
        <v>182</v>
      </c>
      <c r="G10" s="213" t="str">
        <f>IF(F10="","",IFERROR(VLOOKUP(F10,Punktar!$A:$B,2,0),""))</f>
        <v/>
      </c>
      <c r="H10" s="212" t="s">
        <v>182</v>
      </c>
      <c r="I10" s="22" t="s">
        <v>182</v>
      </c>
      <c r="J10" s="213" t="str">
        <f>IF(I10="","",IFERROR(VLOOKUP(I10,Punktar!$A:$B,2,0),""))</f>
        <v/>
      </c>
      <c r="K10" s="212" t="s">
        <v>182</v>
      </c>
      <c r="L10" s="22" t="s">
        <v>182</v>
      </c>
      <c r="M10" s="213" t="str">
        <f>IF(L10="","",IFERROR(VLOOKUP(L10,Punktar!$A:$B,2,0),""))</f>
        <v/>
      </c>
      <c r="N10" s="212" t="s">
        <v>182</v>
      </c>
      <c r="O10" s="22" t="s">
        <v>182</v>
      </c>
      <c r="P10" s="213" t="str">
        <f>IF(O10="","",IFERROR(VLOOKUP(O10,Punktar!$A:$B,2,0),""))</f>
        <v/>
      </c>
      <c r="Q10" s="212" t="s">
        <v>182</v>
      </c>
      <c r="R10" s="22" t="s">
        <v>182</v>
      </c>
      <c r="S10" s="213" t="str">
        <f>IF(R10="","",IFERROR(VLOOKUP(R10,Punktar!$A:$B,2,0),""))</f>
        <v/>
      </c>
      <c r="T10" s="212" t="s">
        <v>182</v>
      </c>
      <c r="U10" s="22" t="s">
        <v>182</v>
      </c>
      <c r="V10" s="213" t="str">
        <f>IF(U10="","",IFERROR(VLOOKUP(U10,Punktar!$A:$B,2,0),""))</f>
        <v/>
      </c>
      <c r="W10" s="61"/>
    </row>
    <row r="11" spans="1:23" x14ac:dyDescent="0.2">
      <c r="A11" s="228"/>
      <c r="B11" s="212" t="s">
        <v>182</v>
      </c>
      <c r="C11" s="22" t="s">
        <v>182</v>
      </c>
      <c r="D11" s="213" t="str">
        <f>IF(C11="","",IFERROR(VLOOKUP(C11,Punktar!$A:$B,2,0),""))</f>
        <v/>
      </c>
      <c r="E11" s="212" t="s">
        <v>182</v>
      </c>
      <c r="F11" s="22" t="s">
        <v>182</v>
      </c>
      <c r="G11" s="213" t="str">
        <f>IF(F11="","",IFERROR(VLOOKUP(F11,Punktar!$A:$B,2,0),""))</f>
        <v/>
      </c>
      <c r="H11" s="212" t="s">
        <v>182</v>
      </c>
      <c r="I11" s="22" t="s">
        <v>182</v>
      </c>
      <c r="J11" s="213" t="str">
        <f>IF(I11="","",IFERROR(VLOOKUP(I11,Punktar!$A:$B,2,0),""))</f>
        <v/>
      </c>
      <c r="K11" s="212" t="s">
        <v>182</v>
      </c>
      <c r="L11" s="22" t="s">
        <v>182</v>
      </c>
      <c r="M11" s="213" t="str">
        <f>IF(L11="","",IFERROR(VLOOKUP(L11,Punktar!$A:$B,2,0),""))</f>
        <v/>
      </c>
      <c r="N11" s="212" t="s">
        <v>182</v>
      </c>
      <c r="O11" s="22" t="s">
        <v>182</v>
      </c>
      <c r="P11" s="213" t="str">
        <f>IF(O11="","",IFERROR(VLOOKUP(O11,Punktar!$A:$B,2,0),""))</f>
        <v/>
      </c>
      <c r="Q11" s="212" t="s">
        <v>182</v>
      </c>
      <c r="R11" s="22" t="s">
        <v>182</v>
      </c>
      <c r="S11" s="213" t="str">
        <f>IF(R11="","",IFERROR(VLOOKUP(R11,Punktar!$A:$B,2,0),""))</f>
        <v/>
      </c>
      <c r="T11" s="212" t="s">
        <v>182</v>
      </c>
      <c r="U11" s="22" t="s">
        <v>182</v>
      </c>
      <c r="V11" s="213" t="str">
        <f>IF(U11="","",IFERROR(VLOOKUP(U11,Punktar!$A:$B,2,0),""))</f>
        <v/>
      </c>
      <c r="W11" s="61"/>
    </row>
    <row r="12" spans="1:23" x14ac:dyDescent="0.2">
      <c r="A12" s="228"/>
      <c r="B12" s="212" t="s">
        <v>182</v>
      </c>
      <c r="C12" s="22" t="s">
        <v>182</v>
      </c>
      <c r="D12" s="213" t="str">
        <f>IF(C12="","",IFERROR(VLOOKUP(C12,Punktar!$A:$B,2,0),""))</f>
        <v/>
      </c>
      <c r="E12" s="212" t="s">
        <v>182</v>
      </c>
      <c r="F12" s="22" t="s">
        <v>182</v>
      </c>
      <c r="G12" s="213" t="str">
        <f>IF(F12="","",IFERROR(VLOOKUP(F12,Punktar!$A:$B,2,0),""))</f>
        <v/>
      </c>
      <c r="H12" s="212" t="s">
        <v>182</v>
      </c>
      <c r="I12" s="22" t="s">
        <v>182</v>
      </c>
      <c r="J12" s="213" t="str">
        <f>IF(I12="","",IFERROR(VLOOKUP(I12,Punktar!$A:$B,2,0),""))</f>
        <v/>
      </c>
      <c r="K12" s="212" t="s">
        <v>182</v>
      </c>
      <c r="L12" s="22" t="s">
        <v>182</v>
      </c>
      <c r="M12" s="213" t="str">
        <f>IF(L12="","",IFERROR(VLOOKUP(L12,Punktar!$A:$B,2,0),""))</f>
        <v/>
      </c>
      <c r="N12" s="212" t="s">
        <v>182</v>
      </c>
      <c r="O12" s="22" t="s">
        <v>182</v>
      </c>
      <c r="P12" s="213" t="str">
        <f>IF(O12="","",IFERROR(VLOOKUP(O12,Punktar!$A:$B,2,0),""))</f>
        <v/>
      </c>
      <c r="Q12" s="212" t="s">
        <v>182</v>
      </c>
      <c r="R12" s="22" t="s">
        <v>182</v>
      </c>
      <c r="S12" s="213" t="str">
        <f>IF(R12="","",IFERROR(VLOOKUP(R12,Punktar!$A:$B,2,0),""))</f>
        <v/>
      </c>
      <c r="T12" s="212" t="s">
        <v>182</v>
      </c>
      <c r="U12" s="22" t="s">
        <v>182</v>
      </c>
      <c r="V12" s="213" t="str">
        <f>IF(U12="","",IFERROR(VLOOKUP(U12,Punktar!$A:$B,2,0),""))</f>
        <v/>
      </c>
      <c r="W12" s="61"/>
    </row>
    <row r="13" spans="1:23" x14ac:dyDescent="0.2">
      <c r="A13" s="228"/>
      <c r="B13" s="212" t="s">
        <v>182</v>
      </c>
      <c r="C13" s="22" t="s">
        <v>182</v>
      </c>
      <c r="D13" s="213" t="str">
        <f>IF(C13="","",IFERROR(VLOOKUP(C13,Punktar!$A:$B,2,0),""))</f>
        <v/>
      </c>
      <c r="E13" s="212" t="s">
        <v>182</v>
      </c>
      <c r="F13" s="22" t="s">
        <v>182</v>
      </c>
      <c r="G13" s="213" t="str">
        <f>IF(F13="","",IFERROR(VLOOKUP(F13,Punktar!$A:$B,2,0),""))</f>
        <v/>
      </c>
      <c r="H13" s="212" t="s">
        <v>182</v>
      </c>
      <c r="I13" s="22" t="s">
        <v>182</v>
      </c>
      <c r="J13" s="213" t="str">
        <f>IF(I13="","",IFERROR(VLOOKUP(I13,Punktar!$A:$B,2,0),""))</f>
        <v/>
      </c>
      <c r="K13" s="212" t="s">
        <v>182</v>
      </c>
      <c r="L13" s="22" t="s">
        <v>182</v>
      </c>
      <c r="M13" s="213" t="str">
        <f>IF(L13="","",IFERROR(VLOOKUP(L13,Punktar!$A:$B,2,0),""))</f>
        <v/>
      </c>
      <c r="N13" s="212" t="s">
        <v>182</v>
      </c>
      <c r="O13" s="22" t="s">
        <v>182</v>
      </c>
      <c r="P13" s="213" t="str">
        <f>IF(O13="","",IFERROR(VLOOKUP(O13,Punktar!$A:$B,2,0),""))</f>
        <v/>
      </c>
      <c r="Q13" s="212" t="s">
        <v>182</v>
      </c>
      <c r="R13" s="22" t="s">
        <v>182</v>
      </c>
      <c r="S13" s="213" t="str">
        <f>IF(R13="","",IFERROR(VLOOKUP(R13,Punktar!$A:$B,2,0),""))</f>
        <v/>
      </c>
      <c r="T13" s="212" t="s">
        <v>182</v>
      </c>
      <c r="U13" s="22" t="s">
        <v>182</v>
      </c>
      <c r="V13" s="213" t="str">
        <f>IF(U13="","",IFERROR(VLOOKUP(U13,Punktar!$A:$B,2,0),""))</f>
        <v/>
      </c>
      <c r="W13" s="61"/>
    </row>
    <row r="14" spans="1:23" x14ac:dyDescent="0.2">
      <c r="A14" s="228"/>
      <c r="B14" s="212" t="s">
        <v>182</v>
      </c>
      <c r="C14" s="22" t="s">
        <v>182</v>
      </c>
      <c r="D14" s="213" t="str">
        <f>IF(C14="","",IFERROR(VLOOKUP(C14,Punktar!$A:$B,2,0),""))</f>
        <v/>
      </c>
      <c r="E14" s="212" t="s">
        <v>182</v>
      </c>
      <c r="F14" s="22" t="s">
        <v>182</v>
      </c>
      <c r="G14" s="213" t="str">
        <f>IF(F14="","",IFERROR(VLOOKUP(F14,Punktar!$A:$B,2,0),""))</f>
        <v/>
      </c>
      <c r="H14" s="212" t="s">
        <v>182</v>
      </c>
      <c r="I14" s="22" t="s">
        <v>182</v>
      </c>
      <c r="J14" s="213" t="str">
        <f>IF(I14="","",IFERROR(VLOOKUP(I14,Punktar!$A:$B,2,0),""))</f>
        <v/>
      </c>
      <c r="K14" s="212" t="s">
        <v>182</v>
      </c>
      <c r="L14" s="22" t="s">
        <v>182</v>
      </c>
      <c r="M14" s="213" t="str">
        <f>IF(L14="","",IFERROR(VLOOKUP(L14,Punktar!$A:$B,2,0),""))</f>
        <v/>
      </c>
      <c r="N14" s="212" t="s">
        <v>182</v>
      </c>
      <c r="O14" s="22" t="s">
        <v>182</v>
      </c>
      <c r="P14" s="213" t="str">
        <f>IF(O14="","",IFERROR(VLOOKUP(O14,Punktar!$A:$B,2,0),""))</f>
        <v/>
      </c>
      <c r="Q14" s="212" t="s">
        <v>182</v>
      </c>
      <c r="R14" s="22" t="s">
        <v>182</v>
      </c>
      <c r="S14" s="213" t="str">
        <f>IF(R14="","",IFERROR(VLOOKUP(R14,Punktar!$A:$B,2,0),""))</f>
        <v/>
      </c>
      <c r="T14" s="212" t="s">
        <v>182</v>
      </c>
      <c r="U14" s="22" t="s">
        <v>182</v>
      </c>
      <c r="V14" s="213" t="str">
        <f>IF(U14="","",IFERROR(VLOOKUP(U14,Punktar!$A:$B,2,0),""))</f>
        <v/>
      </c>
      <c r="W14" s="61"/>
    </row>
    <row r="15" spans="1:23" x14ac:dyDescent="0.2">
      <c r="A15" s="228"/>
      <c r="B15" s="212" t="s">
        <v>182</v>
      </c>
      <c r="C15" s="22" t="s">
        <v>182</v>
      </c>
      <c r="D15" s="213" t="str">
        <f>IF(C15="","",IFERROR(VLOOKUP(C15,Punktar!$A:$B,2,0),""))</f>
        <v/>
      </c>
      <c r="E15" s="212" t="s">
        <v>182</v>
      </c>
      <c r="F15" s="22" t="s">
        <v>182</v>
      </c>
      <c r="G15" s="213" t="str">
        <f>IF(F15="","",IFERROR(VLOOKUP(F15,Punktar!$A:$B,2,0),""))</f>
        <v/>
      </c>
      <c r="H15" s="212" t="s">
        <v>182</v>
      </c>
      <c r="I15" s="22" t="s">
        <v>182</v>
      </c>
      <c r="J15" s="213" t="str">
        <f>IF(I15="","",IFERROR(VLOOKUP(I15,Punktar!$A:$B,2,0),""))</f>
        <v/>
      </c>
      <c r="K15" s="212" t="s">
        <v>182</v>
      </c>
      <c r="L15" s="22" t="s">
        <v>182</v>
      </c>
      <c r="M15" s="213" t="str">
        <f>IF(L15="","",IFERROR(VLOOKUP(L15,Punktar!$A:$B,2,0),""))</f>
        <v/>
      </c>
      <c r="N15" s="212" t="s">
        <v>182</v>
      </c>
      <c r="O15" s="22" t="s">
        <v>182</v>
      </c>
      <c r="P15" s="213" t="str">
        <f>IF(O15="","",IFERROR(VLOOKUP(O15,Punktar!$A:$B,2,0),""))</f>
        <v/>
      </c>
      <c r="Q15" s="212" t="s">
        <v>182</v>
      </c>
      <c r="R15" s="22" t="s">
        <v>182</v>
      </c>
      <c r="S15" s="213" t="str">
        <f>IF(R15="","",IFERROR(VLOOKUP(R15,Punktar!$A:$B,2,0),""))</f>
        <v/>
      </c>
      <c r="T15" s="212" t="s">
        <v>182</v>
      </c>
      <c r="U15" s="22" t="s">
        <v>182</v>
      </c>
      <c r="V15" s="213" t="str">
        <f>IF(U15="","",IFERROR(VLOOKUP(U15,Punktar!$A:$B,2,0),""))</f>
        <v/>
      </c>
      <c r="W15" s="61"/>
    </row>
    <row r="16" spans="1:23" x14ac:dyDescent="0.2">
      <c r="A16" s="228"/>
      <c r="B16" s="212" t="s">
        <v>182</v>
      </c>
      <c r="C16" s="22" t="s">
        <v>182</v>
      </c>
      <c r="D16" s="213" t="str">
        <f>IF(C16="","",IFERROR(VLOOKUP(C16,Punktar!$A:$B,2,0),""))</f>
        <v/>
      </c>
      <c r="E16" s="212" t="s">
        <v>182</v>
      </c>
      <c r="F16" s="22" t="s">
        <v>182</v>
      </c>
      <c r="G16" s="213" t="str">
        <f>IF(F16="","",IFERROR(VLOOKUP(F16,Punktar!$A:$B,2,0),""))</f>
        <v/>
      </c>
      <c r="H16" s="212" t="s">
        <v>182</v>
      </c>
      <c r="I16" s="22" t="s">
        <v>182</v>
      </c>
      <c r="J16" s="213" t="str">
        <f>IF(I16="","",IFERROR(VLOOKUP(I16,Punktar!$A:$B,2,0),""))</f>
        <v/>
      </c>
      <c r="K16" s="212" t="s">
        <v>182</v>
      </c>
      <c r="L16" s="22" t="s">
        <v>182</v>
      </c>
      <c r="M16" s="213" t="str">
        <f>IF(L16="","",IFERROR(VLOOKUP(L16,Punktar!$A:$B,2,0),""))</f>
        <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61"/>
    </row>
    <row r="17" spans="1:23" x14ac:dyDescent="0.2">
      <c r="A17" s="228"/>
      <c r="B17" s="212" t="s">
        <v>182</v>
      </c>
      <c r="C17" s="22" t="s">
        <v>182</v>
      </c>
      <c r="D17" s="213" t="str">
        <f>IF(C17="","",IFERROR(VLOOKUP(C17,Punktar!$A:$B,2,0),""))</f>
        <v/>
      </c>
      <c r="E17" s="212" t="s">
        <v>182</v>
      </c>
      <c r="F17" s="22" t="s">
        <v>182</v>
      </c>
      <c r="G17" s="213" t="str">
        <f>IF(F17="","",IFERROR(VLOOKUP(F17,Punktar!$A:$B,2,0),""))</f>
        <v/>
      </c>
      <c r="H17" s="212" t="s">
        <v>182</v>
      </c>
      <c r="I17" s="22" t="s">
        <v>182</v>
      </c>
      <c r="J17" s="213" t="str">
        <f>IF(I17="","",IFERROR(VLOOKUP(I17,Punktar!$A:$B,2,0),""))</f>
        <v/>
      </c>
      <c r="K17" s="212" t="s">
        <v>182</v>
      </c>
      <c r="L17" s="22" t="s">
        <v>182</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t="s">
        <v>182</v>
      </c>
      <c r="C18" s="22" t="s">
        <v>182</v>
      </c>
      <c r="D18" s="213" t="str">
        <f>IF(C18="","",IFERROR(VLOOKUP(C18,Punktar!$A:$B,2,0),""))</f>
        <v/>
      </c>
      <c r="E18" s="212" t="s">
        <v>182</v>
      </c>
      <c r="F18" s="22" t="s">
        <v>182</v>
      </c>
      <c r="G18" s="213" t="str">
        <f>IF(F18="","",IFERROR(VLOOKUP(F18,Punktar!$A:$B,2,0),""))</f>
        <v/>
      </c>
      <c r="H18" s="212" t="s">
        <v>182</v>
      </c>
      <c r="I18" s="22" t="s">
        <v>182</v>
      </c>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t="s">
        <v>182</v>
      </c>
      <c r="C19" s="22" t="s">
        <v>182</v>
      </c>
      <c r="D19" s="213" t="str">
        <f>IF(C19="","",IFERROR(VLOOKUP(C19,Punktar!$A:$B,2,0),""))</f>
        <v/>
      </c>
      <c r="E19" s="212" t="s">
        <v>182</v>
      </c>
      <c r="F19" s="22" t="s">
        <v>182</v>
      </c>
      <c r="G19" s="213" t="str">
        <f>IF(F19="","",IFERROR(VLOOKUP(F19,Punktar!$A:$B,2,0),""))</f>
        <v/>
      </c>
      <c r="H19" s="212" t="s">
        <v>182</v>
      </c>
      <c r="I19" s="22" t="s">
        <v>182</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t="s">
        <v>182</v>
      </c>
      <c r="F20" s="215" t="s">
        <v>182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7" priority="1" operator="containsText" text=" YYY">
      <formula>NOT(ISERROR(SEARCH(" YYY",B5)))</formula>
    </cfRule>
  </conditionalFormatting>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ABCC3"/>
    <pageSetUpPr fitToPage="1"/>
  </sheetPr>
  <dimension ref="A1:V63"/>
  <sheetViews>
    <sheetView showGridLines="0" showRowColHeaders="0" zoomScaleNormal="100" workbookViewId="0">
      <pane ySplit="4" topLeftCell="A5" activePane="bottomLeft" state="frozen"/>
      <selection activeCell="B4" sqref="B4:C4"/>
      <selection pane="bottomLeft" activeCell="K4" sqref="K4"/>
    </sheetView>
  </sheetViews>
  <sheetFormatPr defaultColWidth="0" defaultRowHeight="12.75" zeroHeight="1" x14ac:dyDescent="0.2"/>
  <cols>
    <col min="1" max="1" width="2.83203125" style="100" customWidth="1"/>
    <col min="2" max="2" width="10.6640625" style="101" customWidth="1"/>
    <col min="3" max="3" width="6.33203125" style="100" hidden="1" customWidth="1"/>
    <col min="4" max="4" width="11" style="100" hidden="1" customWidth="1"/>
    <col min="5" max="8" width="17" style="100" hidden="1" customWidth="1"/>
    <col min="9" max="11" width="17" style="100" customWidth="1"/>
    <col min="12" max="12" width="2.83203125" style="100" customWidth="1"/>
    <col min="13" max="16" width="11.33203125" style="100" customWidth="1"/>
    <col min="17" max="17" width="2.83203125" style="100" customWidth="1"/>
    <col min="18" max="20" width="9.33203125" style="100" hidden="1" customWidth="1"/>
    <col min="21" max="21" width="10.6640625" style="100" hidden="1" customWidth="1"/>
    <col min="22" max="16384" width="9.33203125" style="100" hidden="1"/>
  </cols>
  <sheetData>
    <row r="1" spans="2:22" x14ac:dyDescent="0.2">
      <c r="S1" s="101">
        <f>IF(M3=S2,1,2)</f>
        <v>1</v>
      </c>
    </row>
    <row r="2" spans="2:22" x14ac:dyDescent="0.2">
      <c r="B2" s="102"/>
      <c r="C2" s="103"/>
      <c r="D2" s="104"/>
      <c r="E2" s="238" t="str">
        <f>IF($S$1=1,"GRP verðskrá","GRP price list")</f>
        <v>GRP verðskrá</v>
      </c>
      <c r="F2" s="238"/>
      <c r="G2" s="238"/>
      <c r="H2" s="238"/>
      <c r="I2" s="236" t="s">
        <v>57</v>
      </c>
      <c r="J2" s="236"/>
      <c r="K2" s="237"/>
      <c r="M2" s="243" t="s">
        <v>118</v>
      </c>
      <c r="N2" s="244"/>
      <c r="O2" s="239" t="s">
        <v>151</v>
      </c>
      <c r="P2" s="240"/>
      <c r="S2" s="100" t="s">
        <v>119</v>
      </c>
      <c r="U2" s="137">
        <v>43831</v>
      </c>
      <c r="V2" s="100">
        <v>1</v>
      </c>
    </row>
    <row r="3" spans="2:22" x14ac:dyDescent="0.2">
      <c r="B3" s="105"/>
      <c r="C3" s="234" t="str">
        <f>IF($S$1=1,"Fljótandi birtingar","Floating publications")</f>
        <v>Fljótandi birtingar</v>
      </c>
      <c r="D3" s="234"/>
      <c r="E3" s="234"/>
      <c r="F3" s="234"/>
      <c r="G3" s="235"/>
      <c r="H3" s="247" t="str">
        <f>IF($S$1=1,"Fastar birtingar","Fixed publications")</f>
        <v>Fastar birtingar</v>
      </c>
      <c r="I3" s="248"/>
      <c r="J3" s="248"/>
      <c r="K3" s="249"/>
      <c r="M3" s="245" t="s">
        <v>119</v>
      </c>
      <c r="N3" s="246"/>
      <c r="O3" s="241">
        <v>44075</v>
      </c>
      <c r="P3" s="242"/>
      <c r="S3" s="100" t="s">
        <v>120</v>
      </c>
      <c r="U3" s="137">
        <v>43862</v>
      </c>
      <c r="V3" s="100">
        <v>2</v>
      </c>
    </row>
    <row r="4" spans="2:22" x14ac:dyDescent="0.2">
      <c r="B4" s="106" t="str">
        <f>IF($S$1=1,"Lengd","Length")</f>
        <v>Lengd</v>
      </c>
      <c r="C4" s="107" t="s">
        <v>100</v>
      </c>
      <c r="D4" s="108" t="str">
        <f>IF($S$1=1,"Grunnverð","Base price")</f>
        <v>Grunnverð</v>
      </c>
      <c r="E4" s="109" t="str">
        <f>IF($S$1=1,"Verð m. álagi*","Price with surcharge*")</f>
        <v>Verð m. álagi*</v>
      </c>
      <c r="F4" s="109" t="str">
        <f>IF($S$1=1,"Verð/sek","Price/sec")</f>
        <v>Verð/sek</v>
      </c>
      <c r="G4" s="171">
        <v>75</v>
      </c>
      <c r="H4" s="110" t="str">
        <f>IF($S$1=1,"Grunnverð","Base price")</f>
        <v>Grunnverð</v>
      </c>
      <c r="I4" s="109" t="str">
        <f>IF($S$1=1,"Verð m. álagi*","Price with surcharge*")</f>
        <v>Verð m. álagi*</v>
      </c>
      <c r="J4" s="109" t="str">
        <f>IF($S$1=1,"Verð/sek","Price/sec")</f>
        <v>Verð/sek</v>
      </c>
      <c r="K4" s="177">
        <v>50</v>
      </c>
      <c r="U4" s="137">
        <v>43891</v>
      </c>
      <c r="V4" s="100">
        <v>3</v>
      </c>
    </row>
    <row r="5" spans="2:22" x14ac:dyDescent="0.2">
      <c r="B5" s="111">
        <v>5</v>
      </c>
      <c r="C5" s="112">
        <v>1355</v>
      </c>
      <c r="D5" s="113">
        <f>ROUND(C5*IFERROR(VLOOKUP($I$2,Verðlyklar!$M$79:$N$93,2,0),VLOOKUP($I$2,Verðlyklar!$L$79:$N$93,3,0)),0)</f>
        <v>1355</v>
      </c>
      <c r="E5" s="114">
        <f>ROUND(D5*VLOOKUP(MONTH($O$3),Verðlyklar!$AA$31:$AB$42,2,0),0)</f>
        <v>1355</v>
      </c>
      <c r="F5" s="114">
        <f>E5/B5</f>
        <v>271</v>
      </c>
      <c r="G5" s="115">
        <f>E5*$G$4</f>
        <v>101625</v>
      </c>
      <c r="H5" s="112">
        <f>ROUND(C5*1.1*IFERROR(VLOOKUP($I$2,Verðlyklar!$M$79:$N$93,2,0),VLOOKUP($I$2,Verðlyklar!$L$79:$N$93,3,0)),0)</f>
        <v>1491</v>
      </c>
      <c r="I5" s="114">
        <f>ROUND(H5*VLOOKUP(MONTH($O$3),Verðlyklar!$AA$31:$AB$42,2,0),0)</f>
        <v>1491</v>
      </c>
      <c r="J5" s="114">
        <f>I5/B5</f>
        <v>298.2</v>
      </c>
      <c r="K5" s="116">
        <f>I5*$K$4</f>
        <v>74550</v>
      </c>
      <c r="U5" s="137">
        <v>43922</v>
      </c>
      <c r="V5" s="100">
        <v>4</v>
      </c>
    </row>
    <row r="6" spans="2:22" x14ac:dyDescent="0.2">
      <c r="B6" s="117">
        <v>6</v>
      </c>
      <c r="C6" s="118">
        <v>1528</v>
      </c>
      <c r="D6" s="119">
        <f>ROUND(C6*IFERROR(VLOOKUP($I$2,Verðlyklar!$M$79:$N$93,2,0),VLOOKUP($I$2,Verðlyklar!$L$79:$N$93,3,0)),0)</f>
        <v>1528</v>
      </c>
      <c r="E6" s="120">
        <f>ROUND(D6*VLOOKUP(MONTH($O$3),Verðlyklar!$AA$31:$AB$42,2,0),0)</f>
        <v>1528</v>
      </c>
      <c r="F6" s="120">
        <f t="shared" ref="F6:F60" si="0">E6/B6</f>
        <v>254.66666666666666</v>
      </c>
      <c r="G6" s="121">
        <f t="shared" ref="G6:G60" si="1">E6*$G$4</f>
        <v>114600</v>
      </c>
      <c r="H6" s="118">
        <f>ROUND(C6*1.1*IFERROR(VLOOKUP($I$2,Verðlyklar!$M$79:$N$93,2,0),VLOOKUP($I$2,Verðlyklar!$L$79:$N$93,3,0)),0)</f>
        <v>1681</v>
      </c>
      <c r="I6" s="120">
        <f>ROUND(H6*VLOOKUP(MONTH($O$3),Verðlyklar!$AA$31:$AB$42,2,0),0)</f>
        <v>1681</v>
      </c>
      <c r="J6" s="120">
        <f t="shared" ref="J6:J60" si="2">I6/B6</f>
        <v>280.16666666666669</v>
      </c>
      <c r="K6" s="122">
        <f t="shared" ref="K6:K60" si="3">I6*$K$4</f>
        <v>84050</v>
      </c>
      <c r="U6" s="137">
        <v>43952</v>
      </c>
      <c r="V6" s="100">
        <v>5</v>
      </c>
    </row>
    <row r="7" spans="2:22" x14ac:dyDescent="0.2">
      <c r="B7" s="117">
        <v>7</v>
      </c>
      <c r="C7" s="118">
        <v>1708</v>
      </c>
      <c r="D7" s="119">
        <f>ROUND(C7*IFERROR(VLOOKUP($I$2,Verðlyklar!$M$79:$N$93,2,0),VLOOKUP($I$2,Verðlyklar!$L$79:$N$93,3,0)),0)</f>
        <v>1708</v>
      </c>
      <c r="E7" s="120">
        <f>ROUND(D7*VLOOKUP(MONTH($O$3),Verðlyklar!$AA$31:$AB$42,2,0),0)</f>
        <v>1708</v>
      </c>
      <c r="F7" s="120">
        <f t="shared" si="0"/>
        <v>244</v>
      </c>
      <c r="G7" s="121">
        <f t="shared" si="1"/>
        <v>128100</v>
      </c>
      <c r="H7" s="118">
        <f>ROUND(C7*1.1*IFERROR(VLOOKUP($I$2,Verðlyklar!$M$79:$N$93,2,0),VLOOKUP($I$2,Verðlyklar!$L$79:$N$93,3,0)),0)</f>
        <v>1879</v>
      </c>
      <c r="I7" s="120">
        <f>ROUND(H7*VLOOKUP(MONTH($O$3),Verðlyklar!$AA$31:$AB$42,2,0),0)</f>
        <v>1879</v>
      </c>
      <c r="J7" s="120">
        <f t="shared" si="2"/>
        <v>268.42857142857144</v>
      </c>
      <c r="K7" s="122">
        <f t="shared" si="3"/>
        <v>93950</v>
      </c>
      <c r="U7" s="137">
        <v>43983</v>
      </c>
      <c r="V7" s="100">
        <v>6</v>
      </c>
    </row>
    <row r="8" spans="2:22" x14ac:dyDescent="0.2">
      <c r="B8" s="117">
        <v>8</v>
      </c>
      <c r="C8" s="118">
        <v>1822</v>
      </c>
      <c r="D8" s="119">
        <f>ROUND(C8*IFERROR(VLOOKUP($I$2,Verðlyklar!$M$79:$N$93,2,0),VLOOKUP($I$2,Verðlyklar!$L$79:$N$93,3,0)),0)</f>
        <v>1822</v>
      </c>
      <c r="E8" s="120">
        <f>ROUND(D8*VLOOKUP(MONTH($O$3),Verðlyklar!$AA$31:$AB$42,2,0),0)</f>
        <v>1822</v>
      </c>
      <c r="F8" s="120">
        <f t="shared" si="0"/>
        <v>227.75</v>
      </c>
      <c r="G8" s="121">
        <f t="shared" si="1"/>
        <v>136650</v>
      </c>
      <c r="H8" s="118">
        <f>ROUND(C8*1.1*IFERROR(VLOOKUP($I$2,Verðlyklar!$M$79:$N$93,2,0),VLOOKUP($I$2,Verðlyklar!$L$79:$N$93,3,0)),0)</f>
        <v>2004</v>
      </c>
      <c r="I8" s="120">
        <f>ROUND(H8*VLOOKUP(MONTH($O$3),Verðlyklar!$AA$31:$AB$42,2,0),0)</f>
        <v>2004</v>
      </c>
      <c r="J8" s="120">
        <f t="shared" si="2"/>
        <v>250.5</v>
      </c>
      <c r="K8" s="122">
        <f t="shared" si="3"/>
        <v>100200</v>
      </c>
      <c r="U8" s="137">
        <v>44013</v>
      </c>
      <c r="V8" s="100">
        <v>7</v>
      </c>
    </row>
    <row r="9" spans="2:22" x14ac:dyDescent="0.2">
      <c r="B9" s="117">
        <v>9</v>
      </c>
      <c r="C9" s="118">
        <v>1957</v>
      </c>
      <c r="D9" s="119">
        <f>ROUND(C9*IFERROR(VLOOKUP($I$2,Verðlyklar!$M$79:$N$93,2,0),VLOOKUP($I$2,Verðlyklar!$L$79:$N$93,3,0)),0)</f>
        <v>1957</v>
      </c>
      <c r="E9" s="120">
        <f>ROUND(D9*VLOOKUP(MONTH($O$3),Verðlyklar!$AA$31:$AB$42,2,0),0)</f>
        <v>1957</v>
      </c>
      <c r="F9" s="120">
        <f t="shared" si="0"/>
        <v>217.44444444444446</v>
      </c>
      <c r="G9" s="121">
        <f t="shared" si="1"/>
        <v>146775</v>
      </c>
      <c r="H9" s="118">
        <f>ROUND(C9*1.1*IFERROR(VLOOKUP($I$2,Verðlyklar!$M$79:$N$93,2,0),VLOOKUP($I$2,Verðlyklar!$L$79:$N$93,3,0)),0)</f>
        <v>2153</v>
      </c>
      <c r="I9" s="120">
        <f>ROUND(H9*VLOOKUP(MONTH($O$3),Verðlyklar!$AA$31:$AB$42,2,0),0)</f>
        <v>2153</v>
      </c>
      <c r="J9" s="120">
        <f t="shared" si="2"/>
        <v>239.22222222222223</v>
      </c>
      <c r="K9" s="122">
        <f t="shared" si="3"/>
        <v>107650</v>
      </c>
      <c r="U9" s="137">
        <v>44044</v>
      </c>
      <c r="V9" s="100">
        <v>8</v>
      </c>
    </row>
    <row r="10" spans="2:22" x14ac:dyDescent="0.2">
      <c r="B10" s="111">
        <v>10</v>
      </c>
      <c r="C10" s="112">
        <v>2087</v>
      </c>
      <c r="D10" s="113">
        <f>ROUND(C10*IFERROR(VLOOKUP($I$2,Verðlyklar!$M$79:$N$93,2,0),VLOOKUP($I$2,Verðlyklar!$L$79:$N$93,3,0)),0)</f>
        <v>2087</v>
      </c>
      <c r="E10" s="114">
        <f>ROUND(D10*VLOOKUP(MONTH($O$3),Verðlyklar!$AA$31:$AB$42,2,0),0)</f>
        <v>2087</v>
      </c>
      <c r="F10" s="114">
        <f t="shared" si="0"/>
        <v>208.7</v>
      </c>
      <c r="G10" s="115">
        <f t="shared" si="1"/>
        <v>156525</v>
      </c>
      <c r="H10" s="112">
        <f>ROUND(C10*1.1*IFERROR(VLOOKUP($I$2,Verðlyklar!$M$79:$N$93,2,0),VLOOKUP($I$2,Verðlyklar!$L$79:$N$93,3,0)),0)</f>
        <v>2296</v>
      </c>
      <c r="I10" s="114">
        <f>ROUND(H10*VLOOKUP(MONTH($O$3),Verðlyklar!$AA$31:$AB$42,2,0),0)</f>
        <v>2296</v>
      </c>
      <c r="J10" s="114">
        <f t="shared" si="2"/>
        <v>229.6</v>
      </c>
      <c r="K10" s="116">
        <f t="shared" si="3"/>
        <v>114800</v>
      </c>
      <c r="U10" s="137">
        <v>44075</v>
      </c>
      <c r="V10" s="100">
        <v>9</v>
      </c>
    </row>
    <row r="11" spans="2:22" x14ac:dyDescent="0.2">
      <c r="B11" s="117">
        <v>11</v>
      </c>
      <c r="C11" s="118">
        <v>2272</v>
      </c>
      <c r="D11" s="119">
        <f>ROUND(C11*IFERROR(VLOOKUP($I$2,Verðlyklar!$M$79:$N$93,2,0),VLOOKUP($I$2,Verðlyklar!$L$79:$N$93,3,0)),0)</f>
        <v>2272</v>
      </c>
      <c r="E11" s="120">
        <f>ROUND(D11*VLOOKUP(MONTH($O$3),Verðlyklar!$AA$31:$AB$42,2,0),0)</f>
        <v>2272</v>
      </c>
      <c r="F11" s="120">
        <f t="shared" si="0"/>
        <v>206.54545454545453</v>
      </c>
      <c r="G11" s="121">
        <f t="shared" si="1"/>
        <v>170400</v>
      </c>
      <c r="H11" s="118">
        <f>ROUND(C11*1.1*IFERROR(VLOOKUP($I$2,Verðlyklar!$M$79:$N$93,2,0),VLOOKUP($I$2,Verðlyklar!$L$79:$N$93,3,0)),0)</f>
        <v>2499</v>
      </c>
      <c r="I11" s="120">
        <f>ROUND(H11*VLOOKUP(MONTH($O$3),Verðlyklar!$AA$31:$AB$42,2,0),0)</f>
        <v>2499</v>
      </c>
      <c r="J11" s="120">
        <f t="shared" si="2"/>
        <v>227.18181818181819</v>
      </c>
      <c r="K11" s="122">
        <f t="shared" si="3"/>
        <v>124950</v>
      </c>
      <c r="U11" s="137">
        <v>44105</v>
      </c>
      <c r="V11" s="100">
        <v>10</v>
      </c>
    </row>
    <row r="12" spans="2:22" x14ac:dyDescent="0.2">
      <c r="B12" s="117">
        <v>12</v>
      </c>
      <c r="C12" s="118">
        <v>2452</v>
      </c>
      <c r="D12" s="119">
        <f>ROUND(C12*IFERROR(VLOOKUP($I$2,Verðlyklar!$M$79:$N$93,2,0),VLOOKUP($I$2,Verðlyklar!$L$79:$N$93,3,0)),0)</f>
        <v>2452</v>
      </c>
      <c r="E12" s="120">
        <f>ROUND(D12*VLOOKUP(MONTH($O$3),Verðlyklar!$AA$31:$AB$42,2,0),0)</f>
        <v>2452</v>
      </c>
      <c r="F12" s="120">
        <f t="shared" si="0"/>
        <v>204.33333333333334</v>
      </c>
      <c r="G12" s="121">
        <f t="shared" si="1"/>
        <v>183900</v>
      </c>
      <c r="H12" s="118">
        <f>ROUND(C12*1.1*IFERROR(VLOOKUP($I$2,Verðlyklar!$M$79:$N$93,2,0),VLOOKUP($I$2,Verðlyklar!$L$79:$N$93,3,0)),0)</f>
        <v>2697</v>
      </c>
      <c r="I12" s="120">
        <f>ROUND(H12*VLOOKUP(MONTH($O$3),Verðlyklar!$AA$31:$AB$42,2,0),0)</f>
        <v>2697</v>
      </c>
      <c r="J12" s="120">
        <f t="shared" si="2"/>
        <v>224.75</v>
      </c>
      <c r="K12" s="122">
        <f t="shared" si="3"/>
        <v>134850</v>
      </c>
      <c r="U12" s="137">
        <v>44136</v>
      </c>
      <c r="V12" s="100">
        <v>11</v>
      </c>
    </row>
    <row r="13" spans="2:22" x14ac:dyDescent="0.2">
      <c r="B13" s="117">
        <v>13</v>
      </c>
      <c r="C13" s="118">
        <v>2627</v>
      </c>
      <c r="D13" s="119">
        <f>ROUND(C13*IFERROR(VLOOKUP($I$2,Verðlyklar!$M$79:$N$93,2,0),VLOOKUP($I$2,Verðlyklar!$L$79:$N$93,3,0)),0)</f>
        <v>2627</v>
      </c>
      <c r="E13" s="120">
        <f>ROUND(D13*VLOOKUP(MONTH($O$3),Verðlyklar!$AA$31:$AB$42,2,0),0)</f>
        <v>2627</v>
      </c>
      <c r="F13" s="120">
        <f t="shared" si="0"/>
        <v>202.07692307692307</v>
      </c>
      <c r="G13" s="121">
        <f t="shared" si="1"/>
        <v>197025</v>
      </c>
      <c r="H13" s="118">
        <f>ROUND(C13*1.1*IFERROR(VLOOKUP($I$2,Verðlyklar!$M$79:$N$93,2,0),VLOOKUP($I$2,Verðlyklar!$L$79:$N$93,3,0)),0)</f>
        <v>2890</v>
      </c>
      <c r="I13" s="120">
        <f>ROUND(H13*VLOOKUP(MONTH($O$3),Verðlyklar!$AA$31:$AB$42,2,0),0)</f>
        <v>2890</v>
      </c>
      <c r="J13" s="120">
        <f t="shared" si="2"/>
        <v>222.30769230769232</v>
      </c>
      <c r="K13" s="122">
        <f t="shared" si="3"/>
        <v>144500</v>
      </c>
      <c r="U13" s="137">
        <v>44166</v>
      </c>
      <c r="V13" s="100">
        <v>12</v>
      </c>
    </row>
    <row r="14" spans="2:22" x14ac:dyDescent="0.2">
      <c r="B14" s="117">
        <v>14</v>
      </c>
      <c r="C14" s="118">
        <v>2798</v>
      </c>
      <c r="D14" s="119">
        <f>ROUND(C14*IFERROR(VLOOKUP($I$2,Verðlyklar!$M$79:$N$93,2,0),VLOOKUP($I$2,Verðlyklar!$L$79:$N$93,3,0)),0)</f>
        <v>2798</v>
      </c>
      <c r="E14" s="120">
        <f>ROUND(D14*VLOOKUP(MONTH($O$3),Verðlyklar!$AA$31:$AB$42,2,0),0)</f>
        <v>2798</v>
      </c>
      <c r="F14" s="120">
        <f t="shared" si="0"/>
        <v>199.85714285714286</v>
      </c>
      <c r="G14" s="121">
        <f t="shared" si="1"/>
        <v>209850</v>
      </c>
      <c r="H14" s="118">
        <f>ROUND(C14*1.1*IFERROR(VLOOKUP($I$2,Verðlyklar!$M$79:$N$93,2,0),VLOOKUP($I$2,Verðlyklar!$L$79:$N$93,3,0)),0)</f>
        <v>3078</v>
      </c>
      <c r="I14" s="120">
        <f>ROUND(H14*VLOOKUP(MONTH($O$3),Verðlyklar!$AA$31:$AB$42,2,0),0)</f>
        <v>3078</v>
      </c>
      <c r="J14" s="120">
        <f t="shared" si="2"/>
        <v>219.85714285714286</v>
      </c>
      <c r="K14" s="122">
        <f t="shared" si="3"/>
        <v>153900</v>
      </c>
    </row>
    <row r="15" spans="2:22" x14ac:dyDescent="0.2">
      <c r="B15" s="111">
        <v>15</v>
      </c>
      <c r="C15" s="112">
        <v>2965</v>
      </c>
      <c r="D15" s="113">
        <f>ROUND(C15*IFERROR(VLOOKUP($I$2,Verðlyklar!$M$79:$N$93,2,0),VLOOKUP($I$2,Verðlyklar!$L$79:$N$93,3,0)),0)</f>
        <v>2965</v>
      </c>
      <c r="E15" s="114">
        <f>ROUND(D15*VLOOKUP(MONTH($O$3),Verðlyklar!$AA$31:$AB$42,2,0),0)</f>
        <v>2965</v>
      </c>
      <c r="F15" s="114">
        <f t="shared" si="0"/>
        <v>197.66666666666666</v>
      </c>
      <c r="G15" s="115">
        <f t="shared" si="1"/>
        <v>222375</v>
      </c>
      <c r="H15" s="112">
        <f>ROUND(C15*1.1*IFERROR(VLOOKUP($I$2,Verðlyklar!$M$79:$N$93,2,0),VLOOKUP($I$2,Verðlyklar!$L$79:$N$93,3,0)),0)</f>
        <v>3262</v>
      </c>
      <c r="I15" s="114">
        <f>ROUND(H15*VLOOKUP(MONTH($O$3),Verðlyklar!$AA$31:$AB$42,2,0),0)</f>
        <v>3262</v>
      </c>
      <c r="J15" s="114">
        <f t="shared" si="2"/>
        <v>217.46666666666667</v>
      </c>
      <c r="K15" s="116">
        <f t="shared" si="3"/>
        <v>163100</v>
      </c>
    </row>
    <row r="16" spans="2:22" x14ac:dyDescent="0.2">
      <c r="B16" s="117">
        <v>16</v>
      </c>
      <c r="C16" s="118">
        <v>3146</v>
      </c>
      <c r="D16" s="119">
        <f>ROUND(C16*IFERROR(VLOOKUP($I$2,Verðlyklar!$M$79:$N$93,2,0),VLOOKUP($I$2,Verðlyklar!$L$79:$N$93,3,0)),0)</f>
        <v>3146</v>
      </c>
      <c r="E16" s="120">
        <f>ROUND(D16*VLOOKUP(MONTH($O$3),Verðlyklar!$AA$31:$AB$42,2,0),0)</f>
        <v>3146</v>
      </c>
      <c r="F16" s="120">
        <f t="shared" si="0"/>
        <v>196.625</v>
      </c>
      <c r="G16" s="121">
        <f t="shared" si="1"/>
        <v>235950</v>
      </c>
      <c r="H16" s="118">
        <f>ROUND(C16*1.1*IFERROR(VLOOKUP($I$2,Verðlyklar!$M$79:$N$93,2,0),VLOOKUP($I$2,Verðlyklar!$L$79:$N$93,3,0)),0)</f>
        <v>3461</v>
      </c>
      <c r="I16" s="120">
        <f>ROUND(H16*VLOOKUP(MONTH($O$3),Verðlyklar!$AA$31:$AB$42,2,0),0)</f>
        <v>3461</v>
      </c>
      <c r="J16" s="120">
        <f t="shared" si="2"/>
        <v>216.3125</v>
      </c>
      <c r="K16" s="122">
        <f t="shared" si="3"/>
        <v>173050</v>
      </c>
    </row>
    <row r="17" spans="2:11" x14ac:dyDescent="0.2">
      <c r="B17" s="117">
        <v>17</v>
      </c>
      <c r="C17" s="118">
        <v>3326</v>
      </c>
      <c r="D17" s="119">
        <f>ROUND(C17*IFERROR(VLOOKUP($I$2,Verðlyklar!$M$79:$N$93,2,0),VLOOKUP($I$2,Verðlyklar!$L$79:$N$93,3,0)),0)</f>
        <v>3326</v>
      </c>
      <c r="E17" s="120">
        <f>ROUND(D17*VLOOKUP(MONTH($O$3),Verðlyklar!$AA$31:$AB$42,2,0),0)</f>
        <v>3326</v>
      </c>
      <c r="F17" s="120">
        <f t="shared" si="0"/>
        <v>195.64705882352942</v>
      </c>
      <c r="G17" s="121">
        <f t="shared" si="1"/>
        <v>249450</v>
      </c>
      <c r="H17" s="118">
        <f>ROUND(C17*1.1*IFERROR(VLOOKUP($I$2,Verðlyklar!$M$79:$N$93,2,0),VLOOKUP($I$2,Verðlyklar!$L$79:$N$93,3,0)),0)</f>
        <v>3659</v>
      </c>
      <c r="I17" s="120">
        <f>ROUND(H17*VLOOKUP(MONTH($O$3),Verðlyklar!$AA$31:$AB$42,2,0),0)</f>
        <v>3659</v>
      </c>
      <c r="J17" s="120">
        <f t="shared" si="2"/>
        <v>215.23529411764707</v>
      </c>
      <c r="K17" s="122">
        <f t="shared" si="3"/>
        <v>182950</v>
      </c>
    </row>
    <row r="18" spans="2:11" x14ac:dyDescent="0.2">
      <c r="B18" s="117">
        <v>18</v>
      </c>
      <c r="C18" s="118">
        <v>3504</v>
      </c>
      <c r="D18" s="119">
        <f>ROUND(C18*IFERROR(VLOOKUP($I$2,Verðlyklar!$M$79:$N$93,2,0),VLOOKUP($I$2,Verðlyklar!$L$79:$N$93,3,0)),0)</f>
        <v>3504</v>
      </c>
      <c r="E18" s="120">
        <f>ROUND(D18*VLOOKUP(MONTH($O$3),Verðlyklar!$AA$31:$AB$42,2,0),0)</f>
        <v>3504</v>
      </c>
      <c r="F18" s="120">
        <f t="shared" si="0"/>
        <v>194.66666666666666</v>
      </c>
      <c r="G18" s="121">
        <f t="shared" si="1"/>
        <v>262800</v>
      </c>
      <c r="H18" s="118">
        <f>ROUND(C18*1.1*IFERROR(VLOOKUP($I$2,Verðlyklar!$M$79:$N$93,2,0),VLOOKUP($I$2,Verðlyklar!$L$79:$N$93,3,0)),0)</f>
        <v>3854</v>
      </c>
      <c r="I18" s="120">
        <f>ROUND(H18*VLOOKUP(MONTH($O$3),Verðlyklar!$AA$31:$AB$42,2,0),0)</f>
        <v>3854</v>
      </c>
      <c r="J18" s="120">
        <f t="shared" si="2"/>
        <v>214.11111111111111</v>
      </c>
      <c r="K18" s="122">
        <f t="shared" si="3"/>
        <v>192700</v>
      </c>
    </row>
    <row r="19" spans="2:11" x14ac:dyDescent="0.2">
      <c r="B19" s="117">
        <v>19</v>
      </c>
      <c r="C19" s="118">
        <v>3680</v>
      </c>
      <c r="D19" s="119">
        <f>ROUND(C19*IFERROR(VLOOKUP($I$2,Verðlyklar!$M$79:$N$93,2,0),VLOOKUP($I$2,Verðlyklar!$L$79:$N$93,3,0)),0)</f>
        <v>3680</v>
      </c>
      <c r="E19" s="120">
        <f>ROUND(D19*VLOOKUP(MONTH($O$3),Verðlyklar!$AA$31:$AB$42,2,0),0)</f>
        <v>3680</v>
      </c>
      <c r="F19" s="120">
        <f t="shared" si="0"/>
        <v>193.68421052631578</v>
      </c>
      <c r="G19" s="121">
        <f t="shared" si="1"/>
        <v>276000</v>
      </c>
      <c r="H19" s="118">
        <f>ROUND(C19*1.1*IFERROR(VLOOKUP($I$2,Verðlyklar!$M$79:$N$93,2,0),VLOOKUP($I$2,Verðlyklar!$L$79:$N$93,3,0)),0)</f>
        <v>4048</v>
      </c>
      <c r="I19" s="120">
        <f>ROUND(H19*VLOOKUP(MONTH($O$3),Verðlyklar!$AA$31:$AB$42,2,0),0)</f>
        <v>4048</v>
      </c>
      <c r="J19" s="120">
        <f t="shared" si="2"/>
        <v>213.05263157894737</v>
      </c>
      <c r="K19" s="122">
        <f t="shared" si="3"/>
        <v>202400</v>
      </c>
    </row>
    <row r="20" spans="2:11" x14ac:dyDescent="0.2">
      <c r="B20" s="111">
        <v>20</v>
      </c>
      <c r="C20" s="112">
        <v>3852</v>
      </c>
      <c r="D20" s="113">
        <f>ROUND(C20*IFERROR(VLOOKUP($I$2,Verðlyklar!$M$79:$N$93,2,0),VLOOKUP($I$2,Verðlyklar!$L$79:$N$93,3,0)),0)</f>
        <v>3852</v>
      </c>
      <c r="E20" s="114">
        <f>ROUND(D20*VLOOKUP(MONTH($O$3),Verðlyklar!$AA$31:$AB$42,2,0),0)</f>
        <v>3852</v>
      </c>
      <c r="F20" s="114">
        <f t="shared" si="0"/>
        <v>192.6</v>
      </c>
      <c r="G20" s="115">
        <f t="shared" si="1"/>
        <v>288900</v>
      </c>
      <c r="H20" s="112">
        <f>ROUND(C20*1.1*IFERROR(VLOOKUP($I$2,Verðlyklar!$M$79:$N$93,2,0),VLOOKUP($I$2,Verðlyklar!$L$79:$N$93,3,0)),0)</f>
        <v>4237</v>
      </c>
      <c r="I20" s="114">
        <f>ROUND(H20*VLOOKUP(MONTH($O$3),Verðlyklar!$AA$31:$AB$42,2,0),0)</f>
        <v>4237</v>
      </c>
      <c r="J20" s="114">
        <f t="shared" si="2"/>
        <v>211.85</v>
      </c>
      <c r="K20" s="116">
        <f t="shared" si="3"/>
        <v>211850</v>
      </c>
    </row>
    <row r="21" spans="2:11" x14ac:dyDescent="0.2">
      <c r="B21" s="117">
        <v>21</v>
      </c>
      <c r="C21" s="118">
        <v>4023</v>
      </c>
      <c r="D21" s="119">
        <f>ROUND(C21*IFERROR(VLOOKUP($I$2,Verðlyklar!$M$79:$N$93,2,0),VLOOKUP($I$2,Verðlyklar!$L$79:$N$93,3,0)),0)</f>
        <v>4023</v>
      </c>
      <c r="E21" s="120">
        <f>ROUND(D21*VLOOKUP(MONTH($O$3),Verðlyklar!$AA$31:$AB$42,2,0),0)</f>
        <v>4023</v>
      </c>
      <c r="F21" s="120">
        <f t="shared" si="0"/>
        <v>191.57142857142858</v>
      </c>
      <c r="G21" s="121">
        <f t="shared" si="1"/>
        <v>301725</v>
      </c>
      <c r="H21" s="118">
        <f>ROUND(C21*1.1*IFERROR(VLOOKUP($I$2,Verðlyklar!$M$79:$N$93,2,0),VLOOKUP($I$2,Verðlyklar!$L$79:$N$93,3,0)),0)</f>
        <v>4425</v>
      </c>
      <c r="I21" s="120">
        <f>ROUND(H21*VLOOKUP(MONTH($O$3),Verðlyklar!$AA$31:$AB$42,2,0),0)</f>
        <v>4425</v>
      </c>
      <c r="J21" s="120">
        <f t="shared" si="2"/>
        <v>210.71428571428572</v>
      </c>
      <c r="K21" s="122">
        <f t="shared" si="3"/>
        <v>221250</v>
      </c>
    </row>
    <row r="22" spans="2:11" x14ac:dyDescent="0.2">
      <c r="B22" s="117">
        <v>22</v>
      </c>
      <c r="C22" s="118">
        <v>4189</v>
      </c>
      <c r="D22" s="119">
        <f>ROUND(C22*IFERROR(VLOOKUP($I$2,Verðlyklar!$M$79:$N$93,2,0),VLOOKUP($I$2,Verðlyklar!$L$79:$N$93,3,0)),0)</f>
        <v>4189</v>
      </c>
      <c r="E22" s="120">
        <f>ROUND(D22*VLOOKUP(MONTH($O$3),Verðlyklar!$AA$31:$AB$42,2,0),0)</f>
        <v>4189</v>
      </c>
      <c r="F22" s="120">
        <f t="shared" si="0"/>
        <v>190.40909090909091</v>
      </c>
      <c r="G22" s="121">
        <f t="shared" si="1"/>
        <v>314175</v>
      </c>
      <c r="H22" s="118">
        <f>ROUND(C22*1.1*IFERROR(VLOOKUP($I$2,Verðlyklar!$M$79:$N$93,2,0),VLOOKUP($I$2,Verðlyklar!$L$79:$N$93,3,0)),0)</f>
        <v>4608</v>
      </c>
      <c r="I22" s="120">
        <f>ROUND(H22*VLOOKUP(MONTH($O$3),Verðlyklar!$AA$31:$AB$42,2,0),0)</f>
        <v>4608</v>
      </c>
      <c r="J22" s="120">
        <f t="shared" si="2"/>
        <v>209.45454545454547</v>
      </c>
      <c r="K22" s="122">
        <f t="shared" si="3"/>
        <v>230400</v>
      </c>
    </row>
    <row r="23" spans="2:11" x14ac:dyDescent="0.2">
      <c r="B23" s="117">
        <v>23</v>
      </c>
      <c r="C23" s="118">
        <v>4353</v>
      </c>
      <c r="D23" s="119">
        <f>ROUND(C23*IFERROR(VLOOKUP($I$2,Verðlyklar!$M$79:$N$93,2,0),VLOOKUP($I$2,Verðlyklar!$L$79:$N$93,3,0)),0)</f>
        <v>4353</v>
      </c>
      <c r="E23" s="120">
        <f>ROUND(D23*VLOOKUP(MONTH($O$3),Verðlyklar!$AA$31:$AB$42,2,0),0)</f>
        <v>4353</v>
      </c>
      <c r="F23" s="120">
        <f t="shared" si="0"/>
        <v>189.2608695652174</v>
      </c>
      <c r="G23" s="121">
        <f t="shared" si="1"/>
        <v>326475</v>
      </c>
      <c r="H23" s="118">
        <f>ROUND(C23*1.1*IFERROR(VLOOKUP($I$2,Verðlyklar!$M$79:$N$93,2,0),VLOOKUP($I$2,Verðlyklar!$L$79:$N$93,3,0)),0)</f>
        <v>4788</v>
      </c>
      <c r="I23" s="120">
        <f>ROUND(H23*VLOOKUP(MONTH($O$3),Verðlyklar!$AA$31:$AB$42,2,0),0)</f>
        <v>4788</v>
      </c>
      <c r="J23" s="120">
        <f t="shared" si="2"/>
        <v>208.17391304347825</v>
      </c>
      <c r="K23" s="122">
        <f t="shared" si="3"/>
        <v>239400</v>
      </c>
    </row>
    <row r="24" spans="2:11" x14ac:dyDescent="0.2">
      <c r="B24" s="117">
        <v>24</v>
      </c>
      <c r="C24" s="118">
        <v>4515</v>
      </c>
      <c r="D24" s="119">
        <f>ROUND(C24*IFERROR(VLOOKUP($I$2,Verðlyklar!$M$79:$N$93,2,0),VLOOKUP($I$2,Verðlyklar!$L$79:$N$93,3,0)),0)</f>
        <v>4515</v>
      </c>
      <c r="E24" s="120">
        <f>ROUND(D24*VLOOKUP(MONTH($O$3),Verðlyklar!$AA$31:$AB$42,2,0),0)</f>
        <v>4515</v>
      </c>
      <c r="F24" s="120">
        <f t="shared" si="0"/>
        <v>188.125</v>
      </c>
      <c r="G24" s="121">
        <f t="shared" si="1"/>
        <v>338625</v>
      </c>
      <c r="H24" s="118">
        <f>ROUND(C24*1.1*IFERROR(VLOOKUP($I$2,Verðlyklar!$M$79:$N$93,2,0),VLOOKUP($I$2,Verðlyklar!$L$79:$N$93,3,0)),0)</f>
        <v>4967</v>
      </c>
      <c r="I24" s="120">
        <f>ROUND(H24*VLOOKUP(MONTH($O$3),Verðlyklar!$AA$31:$AB$42,2,0),0)</f>
        <v>4967</v>
      </c>
      <c r="J24" s="120">
        <f t="shared" si="2"/>
        <v>206.95833333333334</v>
      </c>
      <c r="K24" s="122">
        <f t="shared" si="3"/>
        <v>248350</v>
      </c>
    </row>
    <row r="25" spans="2:11" x14ac:dyDescent="0.2">
      <c r="B25" s="111">
        <v>25</v>
      </c>
      <c r="C25" s="112">
        <v>4675</v>
      </c>
      <c r="D25" s="113">
        <f>ROUND(C25*IFERROR(VLOOKUP($I$2,Verðlyklar!$M$79:$N$93,2,0),VLOOKUP($I$2,Verðlyklar!$L$79:$N$93,3,0)),0)</f>
        <v>4675</v>
      </c>
      <c r="E25" s="114">
        <f>ROUND(D25*VLOOKUP(MONTH($O$3),Verðlyklar!$AA$31:$AB$42,2,0),0)</f>
        <v>4675</v>
      </c>
      <c r="F25" s="114">
        <f t="shared" si="0"/>
        <v>187</v>
      </c>
      <c r="G25" s="115">
        <f t="shared" si="1"/>
        <v>350625</v>
      </c>
      <c r="H25" s="112">
        <f>ROUND(C25*1.1*IFERROR(VLOOKUP($I$2,Verðlyklar!$M$79:$N$93,2,0),VLOOKUP($I$2,Verðlyklar!$L$79:$N$93,3,0)),0)</f>
        <v>5143</v>
      </c>
      <c r="I25" s="114">
        <f>ROUND(H25*VLOOKUP(MONTH($O$3),Verðlyklar!$AA$31:$AB$42,2,0),0)</f>
        <v>5143</v>
      </c>
      <c r="J25" s="114">
        <f t="shared" si="2"/>
        <v>205.72</v>
      </c>
      <c r="K25" s="116">
        <f t="shared" si="3"/>
        <v>257150</v>
      </c>
    </row>
    <row r="26" spans="2:11" x14ac:dyDescent="0.2">
      <c r="B26" s="117">
        <v>26</v>
      </c>
      <c r="C26" s="118">
        <v>4842</v>
      </c>
      <c r="D26" s="119">
        <f>ROUND(C26*IFERROR(VLOOKUP($I$2,Verðlyklar!$M$79:$N$93,2,0),VLOOKUP($I$2,Verðlyklar!$L$79:$N$93,3,0)),0)</f>
        <v>4842</v>
      </c>
      <c r="E26" s="120">
        <f>ROUND(D26*VLOOKUP(MONTH($O$3),Verðlyklar!$AA$31:$AB$42,2,0),0)</f>
        <v>4842</v>
      </c>
      <c r="F26" s="120">
        <f t="shared" si="0"/>
        <v>186.23076923076923</v>
      </c>
      <c r="G26" s="121">
        <f t="shared" si="1"/>
        <v>363150</v>
      </c>
      <c r="H26" s="118">
        <f>ROUND(C26*1.1*IFERROR(VLOOKUP($I$2,Verðlyklar!$M$79:$N$93,2,0),VLOOKUP($I$2,Verðlyklar!$L$79:$N$93,3,0)),0)</f>
        <v>5326</v>
      </c>
      <c r="I26" s="120">
        <f>ROUND(H26*VLOOKUP(MONTH($O$3),Verðlyklar!$AA$31:$AB$42,2,0),0)</f>
        <v>5326</v>
      </c>
      <c r="J26" s="120">
        <f t="shared" si="2"/>
        <v>204.84615384615384</v>
      </c>
      <c r="K26" s="122">
        <f t="shared" si="3"/>
        <v>266300</v>
      </c>
    </row>
    <row r="27" spans="2:11" x14ac:dyDescent="0.2">
      <c r="B27" s="117">
        <v>27</v>
      </c>
      <c r="C27" s="118">
        <v>5008</v>
      </c>
      <c r="D27" s="119">
        <f>ROUND(C27*IFERROR(VLOOKUP($I$2,Verðlyklar!$M$79:$N$93,2,0),VLOOKUP($I$2,Verðlyklar!$L$79:$N$93,3,0)),0)</f>
        <v>5008</v>
      </c>
      <c r="E27" s="120">
        <f>ROUND(D27*VLOOKUP(MONTH($O$3),Verðlyklar!$AA$31:$AB$42,2,0),0)</f>
        <v>5008</v>
      </c>
      <c r="F27" s="120">
        <f t="shared" si="0"/>
        <v>185.4814814814815</v>
      </c>
      <c r="G27" s="121">
        <f t="shared" si="1"/>
        <v>375600</v>
      </c>
      <c r="H27" s="118">
        <f>ROUND(C27*1.1*IFERROR(VLOOKUP($I$2,Verðlyklar!$M$79:$N$93,2,0),VLOOKUP($I$2,Verðlyklar!$L$79:$N$93,3,0)),0)</f>
        <v>5509</v>
      </c>
      <c r="I27" s="120">
        <f>ROUND(H27*VLOOKUP(MONTH($O$3),Verðlyklar!$AA$31:$AB$42,2,0),0)</f>
        <v>5509</v>
      </c>
      <c r="J27" s="120">
        <f t="shared" si="2"/>
        <v>204.03703703703704</v>
      </c>
      <c r="K27" s="122">
        <f t="shared" si="3"/>
        <v>275450</v>
      </c>
    </row>
    <row r="28" spans="2:11" x14ac:dyDescent="0.2">
      <c r="B28" s="117">
        <v>28</v>
      </c>
      <c r="C28" s="118">
        <v>5173</v>
      </c>
      <c r="D28" s="119">
        <f>ROUND(C28*IFERROR(VLOOKUP($I$2,Verðlyklar!$M$79:$N$93,2,0),VLOOKUP($I$2,Verðlyklar!$L$79:$N$93,3,0)),0)</f>
        <v>5173</v>
      </c>
      <c r="E28" s="120">
        <f>ROUND(D28*VLOOKUP(MONTH($O$3),Verðlyklar!$AA$31:$AB$42,2,0),0)</f>
        <v>5173</v>
      </c>
      <c r="F28" s="120">
        <f t="shared" si="0"/>
        <v>184.75</v>
      </c>
      <c r="G28" s="121">
        <f t="shared" si="1"/>
        <v>387975</v>
      </c>
      <c r="H28" s="118">
        <f>ROUND(C28*1.1*IFERROR(VLOOKUP($I$2,Verðlyklar!$M$79:$N$93,2,0),VLOOKUP($I$2,Verðlyklar!$L$79:$N$93,3,0)),0)</f>
        <v>5690</v>
      </c>
      <c r="I28" s="120">
        <f>ROUND(H28*VLOOKUP(MONTH($O$3),Verðlyklar!$AA$31:$AB$42,2,0),0)</f>
        <v>5690</v>
      </c>
      <c r="J28" s="120">
        <f t="shared" si="2"/>
        <v>203.21428571428572</v>
      </c>
      <c r="K28" s="122">
        <f t="shared" si="3"/>
        <v>284500</v>
      </c>
    </row>
    <row r="29" spans="2:11" x14ac:dyDescent="0.2">
      <c r="B29" s="117">
        <v>29</v>
      </c>
      <c r="C29" s="118">
        <v>5337</v>
      </c>
      <c r="D29" s="119">
        <f>ROUND(C29*IFERROR(VLOOKUP($I$2,Verðlyklar!$M$79:$N$93,2,0),VLOOKUP($I$2,Verðlyklar!$L$79:$N$93,3,0)),0)</f>
        <v>5337</v>
      </c>
      <c r="E29" s="120">
        <f>ROUND(D29*VLOOKUP(MONTH($O$3),Verðlyklar!$AA$31:$AB$42,2,0),0)</f>
        <v>5337</v>
      </c>
      <c r="F29" s="120">
        <f t="shared" si="0"/>
        <v>184.0344827586207</v>
      </c>
      <c r="G29" s="121">
        <f t="shared" si="1"/>
        <v>400275</v>
      </c>
      <c r="H29" s="118">
        <f>ROUND(C29*1.1*IFERROR(VLOOKUP($I$2,Verðlyklar!$M$79:$N$93,2,0),VLOOKUP($I$2,Verðlyklar!$L$79:$N$93,3,0)),0)</f>
        <v>5871</v>
      </c>
      <c r="I29" s="120">
        <f>ROUND(H29*VLOOKUP(MONTH($O$3),Verðlyklar!$AA$31:$AB$42,2,0),0)</f>
        <v>5871</v>
      </c>
      <c r="J29" s="120">
        <f t="shared" si="2"/>
        <v>202.44827586206895</v>
      </c>
      <c r="K29" s="122">
        <f t="shared" si="3"/>
        <v>293550</v>
      </c>
    </row>
    <row r="30" spans="2:11" x14ac:dyDescent="0.2">
      <c r="B30" s="111">
        <v>30</v>
      </c>
      <c r="C30" s="112">
        <v>5498</v>
      </c>
      <c r="D30" s="113">
        <f>ROUND(C30*IFERROR(VLOOKUP($I$2,Verðlyklar!$M$79:$N$93,2,0),VLOOKUP($I$2,Verðlyklar!$L$79:$N$93,3,0)),0)</f>
        <v>5498</v>
      </c>
      <c r="E30" s="114">
        <f>ROUND(D30*VLOOKUP(MONTH($O$3),Verðlyklar!$AA$31:$AB$42,2,0),0)</f>
        <v>5498</v>
      </c>
      <c r="F30" s="114">
        <f t="shared" si="0"/>
        <v>183.26666666666668</v>
      </c>
      <c r="G30" s="115">
        <f t="shared" si="1"/>
        <v>412350</v>
      </c>
      <c r="H30" s="112">
        <f>ROUND(C30*1.1*IFERROR(VLOOKUP($I$2,Verðlyklar!$M$79:$N$93,2,0),VLOOKUP($I$2,Verðlyklar!$L$79:$N$93,3,0)),0)</f>
        <v>6048</v>
      </c>
      <c r="I30" s="114">
        <f>ROUND(H30*VLOOKUP(MONTH($O$3),Verðlyklar!$AA$31:$AB$42,2,0),0)</f>
        <v>6048</v>
      </c>
      <c r="J30" s="114">
        <f t="shared" si="2"/>
        <v>201.6</v>
      </c>
      <c r="K30" s="116">
        <f t="shared" si="3"/>
        <v>302400</v>
      </c>
    </row>
    <row r="31" spans="2:11" x14ac:dyDescent="0.2">
      <c r="B31" s="117">
        <v>31</v>
      </c>
      <c r="C31" s="118">
        <v>5608</v>
      </c>
      <c r="D31" s="119">
        <f>ROUND(C31*IFERROR(VLOOKUP($I$2,Verðlyklar!$M$79:$N$93,2,0),VLOOKUP($I$2,Verðlyklar!$L$79:$N$93,3,0)),0)</f>
        <v>5608</v>
      </c>
      <c r="E31" s="120">
        <f>ROUND(D31*VLOOKUP(MONTH($O$3),Verðlyklar!$AA$31:$AB$42,2,0),0)</f>
        <v>5608</v>
      </c>
      <c r="F31" s="120">
        <f t="shared" si="0"/>
        <v>180.90322580645162</v>
      </c>
      <c r="G31" s="121">
        <f t="shared" si="1"/>
        <v>420600</v>
      </c>
      <c r="H31" s="118">
        <f>ROUND(C31*1.1*IFERROR(VLOOKUP($I$2,Verðlyklar!$M$79:$N$93,2,0),VLOOKUP($I$2,Verðlyklar!$L$79:$N$93,3,0)),0)</f>
        <v>6169</v>
      </c>
      <c r="I31" s="120">
        <f>ROUND(H31*VLOOKUP(MONTH($O$3),Verðlyklar!$AA$31:$AB$42,2,0),0)</f>
        <v>6169</v>
      </c>
      <c r="J31" s="120">
        <f t="shared" si="2"/>
        <v>199</v>
      </c>
      <c r="K31" s="122">
        <f t="shared" si="3"/>
        <v>308450</v>
      </c>
    </row>
    <row r="32" spans="2:11" x14ac:dyDescent="0.2">
      <c r="B32" s="117">
        <v>32</v>
      </c>
      <c r="C32" s="118">
        <v>5714</v>
      </c>
      <c r="D32" s="119">
        <f>ROUND(C32*IFERROR(VLOOKUP($I$2,Verðlyklar!$M$79:$N$93,2,0),VLOOKUP($I$2,Verðlyklar!$L$79:$N$93,3,0)),0)</f>
        <v>5714</v>
      </c>
      <c r="E32" s="120">
        <f>ROUND(D32*VLOOKUP(MONTH($O$3),Verðlyklar!$AA$31:$AB$42,2,0),0)</f>
        <v>5714</v>
      </c>
      <c r="F32" s="120">
        <f t="shared" si="0"/>
        <v>178.5625</v>
      </c>
      <c r="G32" s="121">
        <f t="shared" si="1"/>
        <v>428550</v>
      </c>
      <c r="H32" s="118">
        <f>ROUND(C32*1.1*IFERROR(VLOOKUP($I$2,Verðlyklar!$M$79:$N$93,2,0),VLOOKUP($I$2,Verðlyklar!$L$79:$N$93,3,0)),0)</f>
        <v>6285</v>
      </c>
      <c r="I32" s="120">
        <f>ROUND(H32*VLOOKUP(MONTH($O$3),Verðlyklar!$AA$31:$AB$42,2,0),0)</f>
        <v>6285</v>
      </c>
      <c r="J32" s="120">
        <f t="shared" si="2"/>
        <v>196.40625</v>
      </c>
      <c r="K32" s="122">
        <f t="shared" si="3"/>
        <v>314250</v>
      </c>
    </row>
    <row r="33" spans="2:11" x14ac:dyDescent="0.2">
      <c r="B33" s="117">
        <v>33</v>
      </c>
      <c r="C33" s="118">
        <v>5815</v>
      </c>
      <c r="D33" s="119">
        <f>ROUND(C33*IFERROR(VLOOKUP($I$2,Verðlyklar!$M$79:$N$93,2,0),VLOOKUP($I$2,Verðlyklar!$L$79:$N$93,3,0)),0)</f>
        <v>5815</v>
      </c>
      <c r="E33" s="120">
        <f>ROUND(D33*VLOOKUP(MONTH($O$3),Verðlyklar!$AA$31:$AB$42,2,0),0)</f>
        <v>5815</v>
      </c>
      <c r="F33" s="120">
        <f t="shared" si="0"/>
        <v>176.21212121212122</v>
      </c>
      <c r="G33" s="121">
        <f t="shared" si="1"/>
        <v>436125</v>
      </c>
      <c r="H33" s="118">
        <f>ROUND(C33*1.1*IFERROR(VLOOKUP($I$2,Verðlyklar!$M$79:$N$93,2,0),VLOOKUP($I$2,Verðlyklar!$L$79:$N$93,3,0)),0)</f>
        <v>6397</v>
      </c>
      <c r="I33" s="120">
        <f>ROUND(H33*VLOOKUP(MONTH($O$3),Verðlyklar!$AA$31:$AB$42,2,0),0)</f>
        <v>6397</v>
      </c>
      <c r="J33" s="120">
        <f t="shared" si="2"/>
        <v>193.84848484848484</v>
      </c>
      <c r="K33" s="122">
        <f t="shared" si="3"/>
        <v>319850</v>
      </c>
    </row>
    <row r="34" spans="2:11" x14ac:dyDescent="0.2">
      <c r="B34" s="117">
        <v>34</v>
      </c>
      <c r="C34" s="118">
        <v>5914</v>
      </c>
      <c r="D34" s="119">
        <f>ROUND(C34*IFERROR(VLOOKUP($I$2,Verðlyklar!$M$79:$N$93,2,0),VLOOKUP($I$2,Verðlyklar!$L$79:$N$93,3,0)),0)</f>
        <v>5914</v>
      </c>
      <c r="E34" s="120">
        <f>ROUND(D34*VLOOKUP(MONTH($O$3),Verðlyklar!$AA$31:$AB$42,2,0),0)</f>
        <v>5914</v>
      </c>
      <c r="F34" s="120">
        <f t="shared" si="0"/>
        <v>173.94117647058823</v>
      </c>
      <c r="G34" s="121">
        <f t="shared" si="1"/>
        <v>443550</v>
      </c>
      <c r="H34" s="118">
        <f>ROUND(C34*1.1*IFERROR(VLOOKUP($I$2,Verðlyklar!$M$79:$N$93,2,0),VLOOKUP($I$2,Verðlyklar!$L$79:$N$93,3,0)),0)</f>
        <v>6505</v>
      </c>
      <c r="I34" s="120">
        <f>ROUND(H34*VLOOKUP(MONTH($O$3),Verðlyklar!$AA$31:$AB$42,2,0),0)</f>
        <v>6505</v>
      </c>
      <c r="J34" s="120">
        <f t="shared" si="2"/>
        <v>191.3235294117647</v>
      </c>
      <c r="K34" s="122">
        <f t="shared" si="3"/>
        <v>325250</v>
      </c>
    </row>
    <row r="35" spans="2:11" x14ac:dyDescent="0.2">
      <c r="B35" s="111">
        <v>35</v>
      </c>
      <c r="C35" s="112">
        <v>6009</v>
      </c>
      <c r="D35" s="113">
        <f>ROUND(C35*IFERROR(VLOOKUP($I$2,Verðlyklar!$M$79:$N$93,2,0),VLOOKUP($I$2,Verðlyklar!$L$79:$N$93,3,0)),0)</f>
        <v>6009</v>
      </c>
      <c r="E35" s="114">
        <f>ROUND(D35*VLOOKUP(MONTH($O$3),Verðlyklar!$AA$31:$AB$42,2,0),0)</f>
        <v>6009</v>
      </c>
      <c r="F35" s="114">
        <f t="shared" si="0"/>
        <v>171.68571428571428</v>
      </c>
      <c r="G35" s="115">
        <f t="shared" si="1"/>
        <v>450675</v>
      </c>
      <c r="H35" s="112">
        <f>ROUND(C35*1.1*IFERROR(VLOOKUP($I$2,Verðlyklar!$M$79:$N$93,2,0),VLOOKUP($I$2,Verðlyklar!$L$79:$N$93,3,0)),0)</f>
        <v>6610</v>
      </c>
      <c r="I35" s="114">
        <f>ROUND(H35*VLOOKUP(MONTH($O$3),Verðlyklar!$AA$31:$AB$42,2,0),0)</f>
        <v>6610</v>
      </c>
      <c r="J35" s="114">
        <f t="shared" si="2"/>
        <v>188.85714285714286</v>
      </c>
      <c r="K35" s="116">
        <f t="shared" si="3"/>
        <v>330500</v>
      </c>
    </row>
    <row r="36" spans="2:11" x14ac:dyDescent="0.2">
      <c r="B36" s="117">
        <v>36</v>
      </c>
      <c r="C36" s="118">
        <v>6118</v>
      </c>
      <c r="D36" s="119">
        <f>ROUND(C36*IFERROR(VLOOKUP($I$2,Verðlyklar!$M$79:$N$93,2,0),VLOOKUP($I$2,Verðlyklar!$L$79:$N$93,3,0)),0)</f>
        <v>6118</v>
      </c>
      <c r="E36" s="120">
        <f>ROUND(D36*VLOOKUP(MONTH($O$3),Verðlyklar!$AA$31:$AB$42,2,0),0)</f>
        <v>6118</v>
      </c>
      <c r="F36" s="120">
        <f t="shared" si="0"/>
        <v>169.94444444444446</v>
      </c>
      <c r="G36" s="121">
        <f t="shared" si="1"/>
        <v>458850</v>
      </c>
      <c r="H36" s="118">
        <f>ROUND(C36*1.1*IFERROR(VLOOKUP($I$2,Verðlyklar!$M$79:$N$93,2,0),VLOOKUP($I$2,Verðlyklar!$L$79:$N$93,3,0)),0)</f>
        <v>6730</v>
      </c>
      <c r="I36" s="120">
        <f>ROUND(H36*VLOOKUP(MONTH($O$3),Verðlyklar!$AA$31:$AB$42,2,0),0)</f>
        <v>6730</v>
      </c>
      <c r="J36" s="120">
        <f t="shared" si="2"/>
        <v>186.94444444444446</v>
      </c>
      <c r="K36" s="122">
        <f t="shared" si="3"/>
        <v>336500</v>
      </c>
    </row>
    <row r="37" spans="2:11" x14ac:dyDescent="0.2">
      <c r="B37" s="117">
        <v>37</v>
      </c>
      <c r="C37" s="118">
        <v>6226</v>
      </c>
      <c r="D37" s="119">
        <f>ROUND(C37*IFERROR(VLOOKUP($I$2,Verðlyklar!$M$79:$N$93,2,0),VLOOKUP($I$2,Verðlyklar!$L$79:$N$93,3,0)),0)</f>
        <v>6226</v>
      </c>
      <c r="E37" s="120">
        <f>ROUND(D37*VLOOKUP(MONTH($O$3),Verðlyklar!$AA$31:$AB$42,2,0),0)</f>
        <v>6226</v>
      </c>
      <c r="F37" s="120">
        <f t="shared" si="0"/>
        <v>168.27027027027026</v>
      </c>
      <c r="G37" s="121">
        <f t="shared" si="1"/>
        <v>466950</v>
      </c>
      <c r="H37" s="118">
        <f>ROUND(C37*1.1*IFERROR(VLOOKUP($I$2,Verðlyklar!$M$79:$N$93,2,0),VLOOKUP($I$2,Verðlyklar!$L$79:$N$93,3,0)),0)</f>
        <v>6849</v>
      </c>
      <c r="I37" s="120">
        <f>ROUND(H37*VLOOKUP(MONTH($O$3),Verðlyklar!$AA$31:$AB$42,2,0),0)</f>
        <v>6849</v>
      </c>
      <c r="J37" s="120">
        <f t="shared" si="2"/>
        <v>185.1081081081081</v>
      </c>
      <c r="K37" s="122">
        <f t="shared" si="3"/>
        <v>342450</v>
      </c>
    </row>
    <row r="38" spans="2:11" x14ac:dyDescent="0.2">
      <c r="B38" s="117">
        <v>38</v>
      </c>
      <c r="C38" s="118">
        <v>6330</v>
      </c>
      <c r="D38" s="119">
        <f>ROUND(C38*IFERROR(VLOOKUP($I$2,Verðlyklar!$M$79:$N$93,2,0),VLOOKUP($I$2,Verðlyklar!$L$79:$N$93,3,0)),0)</f>
        <v>6330</v>
      </c>
      <c r="E38" s="120">
        <f>ROUND(D38*VLOOKUP(MONTH($O$3),Verðlyklar!$AA$31:$AB$42,2,0),0)</f>
        <v>6330</v>
      </c>
      <c r="F38" s="120">
        <f t="shared" si="0"/>
        <v>166.57894736842104</v>
      </c>
      <c r="G38" s="121">
        <f t="shared" si="1"/>
        <v>474750</v>
      </c>
      <c r="H38" s="118">
        <f>ROUND(C38*1.1*IFERROR(VLOOKUP($I$2,Verðlyklar!$M$79:$N$93,2,0),VLOOKUP($I$2,Verðlyklar!$L$79:$N$93,3,0)),0)</f>
        <v>6963</v>
      </c>
      <c r="I38" s="120">
        <f>ROUND(H38*VLOOKUP(MONTH($O$3),Verðlyklar!$AA$31:$AB$42,2,0),0)</f>
        <v>6963</v>
      </c>
      <c r="J38" s="120">
        <f t="shared" si="2"/>
        <v>183.23684210526315</v>
      </c>
      <c r="K38" s="122">
        <f t="shared" si="3"/>
        <v>348150</v>
      </c>
    </row>
    <row r="39" spans="2:11" x14ac:dyDescent="0.2">
      <c r="B39" s="117">
        <v>39</v>
      </c>
      <c r="C39" s="118">
        <v>6432</v>
      </c>
      <c r="D39" s="119">
        <f>ROUND(C39*IFERROR(VLOOKUP($I$2,Verðlyklar!$M$79:$N$93,2,0),VLOOKUP($I$2,Verðlyklar!$L$79:$N$93,3,0)),0)</f>
        <v>6432</v>
      </c>
      <c r="E39" s="120">
        <f>ROUND(D39*VLOOKUP(MONTH($O$3),Verðlyklar!$AA$31:$AB$42,2,0),0)</f>
        <v>6432</v>
      </c>
      <c r="F39" s="120">
        <f t="shared" si="0"/>
        <v>164.92307692307693</v>
      </c>
      <c r="G39" s="121">
        <f t="shared" si="1"/>
        <v>482400</v>
      </c>
      <c r="H39" s="118">
        <f>ROUND(C39*1.1*IFERROR(VLOOKUP($I$2,Verðlyklar!$M$79:$N$93,2,0),VLOOKUP($I$2,Verðlyklar!$L$79:$N$93,3,0)),0)</f>
        <v>7075</v>
      </c>
      <c r="I39" s="120">
        <f>ROUND(H39*VLOOKUP(MONTH($O$3),Verðlyklar!$AA$31:$AB$42,2,0),0)</f>
        <v>7075</v>
      </c>
      <c r="J39" s="120">
        <f t="shared" si="2"/>
        <v>181.41025641025641</v>
      </c>
      <c r="K39" s="122">
        <f t="shared" si="3"/>
        <v>353750</v>
      </c>
    </row>
    <row r="40" spans="2:11" x14ac:dyDescent="0.2">
      <c r="B40" s="111">
        <v>40</v>
      </c>
      <c r="C40" s="112">
        <v>6530</v>
      </c>
      <c r="D40" s="113">
        <f>ROUND(C40*IFERROR(VLOOKUP($I$2,Verðlyklar!$M$79:$N$93,2,0),VLOOKUP($I$2,Verðlyklar!$L$79:$N$93,3,0)),0)</f>
        <v>6530</v>
      </c>
      <c r="E40" s="114">
        <f>ROUND(D40*VLOOKUP(MONTH($O$3),Verðlyklar!$AA$31:$AB$42,2,0),0)</f>
        <v>6530</v>
      </c>
      <c r="F40" s="114">
        <f t="shared" si="0"/>
        <v>163.25</v>
      </c>
      <c r="G40" s="115">
        <f t="shared" si="1"/>
        <v>489750</v>
      </c>
      <c r="H40" s="112">
        <f>ROUND(C40*1.1*IFERROR(VLOOKUP($I$2,Verðlyklar!$M$79:$N$93,2,0),VLOOKUP($I$2,Verðlyklar!$L$79:$N$93,3,0)),0)</f>
        <v>7183</v>
      </c>
      <c r="I40" s="114">
        <f>ROUND(H40*VLOOKUP(MONTH($O$3),Verðlyklar!$AA$31:$AB$42,2,0),0)</f>
        <v>7183</v>
      </c>
      <c r="J40" s="114">
        <f t="shared" si="2"/>
        <v>179.57499999999999</v>
      </c>
      <c r="K40" s="116">
        <f t="shared" si="3"/>
        <v>359150</v>
      </c>
    </row>
    <row r="41" spans="2:11" x14ac:dyDescent="0.2">
      <c r="B41" s="117">
        <v>41</v>
      </c>
      <c r="C41" s="118">
        <v>6640</v>
      </c>
      <c r="D41" s="119">
        <f>ROUND(C41*IFERROR(VLOOKUP($I$2,Verðlyklar!$M$79:$N$93,2,0),VLOOKUP($I$2,Verðlyklar!$L$79:$N$93,3,0)),0)</f>
        <v>6640</v>
      </c>
      <c r="E41" s="120">
        <f>ROUND(D41*VLOOKUP(MONTH($O$3),Verðlyklar!$AA$31:$AB$42,2,0),0)</f>
        <v>6640</v>
      </c>
      <c r="F41" s="120">
        <f t="shared" si="0"/>
        <v>161.95121951219511</v>
      </c>
      <c r="G41" s="121">
        <f t="shared" si="1"/>
        <v>498000</v>
      </c>
      <c r="H41" s="118">
        <f>ROUND(C41*1.1*IFERROR(VLOOKUP($I$2,Verðlyklar!$M$79:$N$93,2,0),VLOOKUP($I$2,Verðlyklar!$L$79:$N$93,3,0)),0)</f>
        <v>7304</v>
      </c>
      <c r="I41" s="120">
        <f>ROUND(H41*VLOOKUP(MONTH($O$3),Verðlyklar!$AA$31:$AB$42,2,0),0)</f>
        <v>7304</v>
      </c>
      <c r="J41" s="120">
        <f t="shared" si="2"/>
        <v>178.14634146341464</v>
      </c>
      <c r="K41" s="122">
        <f t="shared" si="3"/>
        <v>365200</v>
      </c>
    </row>
    <row r="42" spans="2:11" x14ac:dyDescent="0.2">
      <c r="B42" s="117">
        <v>42</v>
      </c>
      <c r="C42" s="118">
        <v>6748</v>
      </c>
      <c r="D42" s="119">
        <f>ROUND(C42*IFERROR(VLOOKUP($I$2,Verðlyklar!$M$79:$N$93,2,0),VLOOKUP($I$2,Verðlyklar!$L$79:$N$93,3,0)),0)</f>
        <v>6748</v>
      </c>
      <c r="E42" s="120">
        <f>ROUND(D42*VLOOKUP(MONTH($O$3),Verðlyklar!$AA$31:$AB$42,2,0),0)</f>
        <v>6748</v>
      </c>
      <c r="F42" s="120">
        <f t="shared" si="0"/>
        <v>160.66666666666666</v>
      </c>
      <c r="G42" s="121">
        <f t="shared" si="1"/>
        <v>506100</v>
      </c>
      <c r="H42" s="118">
        <f>ROUND(C42*1.1*IFERROR(VLOOKUP($I$2,Verðlyklar!$M$79:$N$93,2,0),VLOOKUP($I$2,Verðlyklar!$L$79:$N$93,3,0)),0)</f>
        <v>7423</v>
      </c>
      <c r="I42" s="120">
        <f>ROUND(H42*VLOOKUP(MONTH($O$3),Verðlyklar!$AA$31:$AB$42,2,0),0)</f>
        <v>7423</v>
      </c>
      <c r="J42" s="120">
        <f t="shared" si="2"/>
        <v>176.73809523809524</v>
      </c>
      <c r="K42" s="122">
        <f t="shared" si="3"/>
        <v>371150</v>
      </c>
    </row>
    <row r="43" spans="2:11" x14ac:dyDescent="0.2">
      <c r="B43" s="117">
        <v>43</v>
      </c>
      <c r="C43" s="118">
        <v>6853</v>
      </c>
      <c r="D43" s="119">
        <f>ROUND(C43*IFERROR(VLOOKUP($I$2,Verðlyklar!$M$79:$N$93,2,0),VLOOKUP($I$2,Verðlyklar!$L$79:$N$93,3,0)),0)</f>
        <v>6853</v>
      </c>
      <c r="E43" s="120">
        <f>ROUND(D43*VLOOKUP(MONTH($O$3),Verðlyklar!$AA$31:$AB$42,2,0),0)</f>
        <v>6853</v>
      </c>
      <c r="F43" s="120">
        <f t="shared" si="0"/>
        <v>159.37209302325581</v>
      </c>
      <c r="G43" s="121">
        <f t="shared" si="1"/>
        <v>513975</v>
      </c>
      <c r="H43" s="118">
        <f>ROUND(C43*1.1*IFERROR(VLOOKUP($I$2,Verðlyklar!$M$79:$N$93,2,0),VLOOKUP($I$2,Verðlyklar!$L$79:$N$93,3,0)),0)</f>
        <v>7538</v>
      </c>
      <c r="I43" s="120">
        <f>ROUND(H43*VLOOKUP(MONTH($O$3),Verðlyklar!$AA$31:$AB$42,2,0),0)</f>
        <v>7538</v>
      </c>
      <c r="J43" s="120">
        <f t="shared" si="2"/>
        <v>175.30232558139534</v>
      </c>
      <c r="K43" s="122">
        <f t="shared" si="3"/>
        <v>376900</v>
      </c>
    </row>
    <row r="44" spans="2:11" x14ac:dyDescent="0.2">
      <c r="B44" s="117">
        <v>44</v>
      </c>
      <c r="C44" s="118">
        <v>6956</v>
      </c>
      <c r="D44" s="119">
        <f>ROUND(C44*IFERROR(VLOOKUP($I$2,Verðlyklar!$M$79:$N$93,2,0),VLOOKUP($I$2,Verðlyklar!$L$79:$N$93,3,0)),0)</f>
        <v>6956</v>
      </c>
      <c r="E44" s="120">
        <f>ROUND(D44*VLOOKUP(MONTH($O$3),Verðlyklar!$AA$31:$AB$42,2,0),0)</f>
        <v>6956</v>
      </c>
      <c r="F44" s="120">
        <f t="shared" si="0"/>
        <v>158.09090909090909</v>
      </c>
      <c r="G44" s="121">
        <f t="shared" si="1"/>
        <v>521700</v>
      </c>
      <c r="H44" s="118">
        <f>ROUND(C44*1.1*IFERROR(VLOOKUP($I$2,Verðlyklar!$M$79:$N$93,2,0),VLOOKUP($I$2,Verðlyklar!$L$79:$N$93,3,0)),0)</f>
        <v>7652</v>
      </c>
      <c r="I44" s="120">
        <f>ROUND(H44*VLOOKUP(MONTH($O$3),Verðlyklar!$AA$31:$AB$42,2,0),0)</f>
        <v>7652</v>
      </c>
      <c r="J44" s="120">
        <f t="shared" si="2"/>
        <v>173.90909090909091</v>
      </c>
      <c r="K44" s="122">
        <f t="shared" si="3"/>
        <v>382600</v>
      </c>
    </row>
    <row r="45" spans="2:11" x14ac:dyDescent="0.2">
      <c r="B45" s="111">
        <v>45</v>
      </c>
      <c r="C45" s="112">
        <v>7058</v>
      </c>
      <c r="D45" s="113">
        <f>ROUND(C45*IFERROR(VLOOKUP($I$2,Verðlyklar!$M$79:$N$93,2,0),VLOOKUP($I$2,Verðlyklar!$L$79:$N$93,3,0)),0)</f>
        <v>7058</v>
      </c>
      <c r="E45" s="114">
        <f>ROUND(D45*VLOOKUP(MONTH($O$3),Verðlyklar!$AA$31:$AB$42,2,0),0)</f>
        <v>7058</v>
      </c>
      <c r="F45" s="114">
        <f t="shared" si="0"/>
        <v>156.84444444444443</v>
      </c>
      <c r="G45" s="115">
        <f t="shared" si="1"/>
        <v>529350</v>
      </c>
      <c r="H45" s="112">
        <f>ROUND(C45*1.1*IFERROR(VLOOKUP($I$2,Verðlyklar!$M$79:$N$93,2,0),VLOOKUP($I$2,Verðlyklar!$L$79:$N$93,3,0)),0)</f>
        <v>7764</v>
      </c>
      <c r="I45" s="114">
        <f>ROUND(H45*VLOOKUP(MONTH($O$3),Verðlyklar!$AA$31:$AB$42,2,0),0)</f>
        <v>7764</v>
      </c>
      <c r="J45" s="114">
        <f t="shared" si="2"/>
        <v>172.53333333333333</v>
      </c>
      <c r="K45" s="116">
        <f t="shared" si="3"/>
        <v>388200</v>
      </c>
    </row>
    <row r="46" spans="2:11" x14ac:dyDescent="0.2">
      <c r="B46" s="117">
        <v>46</v>
      </c>
      <c r="C46" s="118">
        <v>7164</v>
      </c>
      <c r="D46" s="119">
        <f>ROUND(C46*IFERROR(VLOOKUP($I$2,Verðlyklar!$M$79:$N$93,2,0),VLOOKUP($I$2,Verðlyklar!$L$79:$N$93,3,0)),0)</f>
        <v>7164</v>
      </c>
      <c r="E46" s="120">
        <f>ROUND(D46*VLOOKUP(MONTH($O$3),Verðlyklar!$AA$31:$AB$42,2,0),0)</f>
        <v>7164</v>
      </c>
      <c r="F46" s="120">
        <f t="shared" si="0"/>
        <v>155.7391304347826</v>
      </c>
      <c r="G46" s="121">
        <f t="shared" si="1"/>
        <v>537300</v>
      </c>
      <c r="H46" s="118">
        <f>ROUND(C46*1.1*IFERROR(VLOOKUP($I$2,Verðlyklar!$M$79:$N$93,2,0),VLOOKUP($I$2,Verðlyklar!$L$79:$N$93,3,0)),0)</f>
        <v>7880</v>
      </c>
      <c r="I46" s="120">
        <f>ROUND(H46*VLOOKUP(MONTH($O$3),Verðlyklar!$AA$31:$AB$42,2,0),0)</f>
        <v>7880</v>
      </c>
      <c r="J46" s="120">
        <f t="shared" si="2"/>
        <v>171.30434782608697</v>
      </c>
      <c r="K46" s="122">
        <f t="shared" si="3"/>
        <v>394000</v>
      </c>
    </row>
    <row r="47" spans="2:11" x14ac:dyDescent="0.2">
      <c r="B47" s="117">
        <v>47</v>
      </c>
      <c r="C47" s="118">
        <v>7268</v>
      </c>
      <c r="D47" s="119">
        <f>ROUND(C47*IFERROR(VLOOKUP($I$2,Verðlyklar!$M$79:$N$93,2,0),VLOOKUP($I$2,Verðlyklar!$L$79:$N$93,3,0)),0)</f>
        <v>7268</v>
      </c>
      <c r="E47" s="120">
        <f>ROUND(D47*VLOOKUP(MONTH($O$3),Verðlyklar!$AA$31:$AB$42,2,0),0)</f>
        <v>7268</v>
      </c>
      <c r="F47" s="120">
        <f t="shared" si="0"/>
        <v>154.63829787234042</v>
      </c>
      <c r="G47" s="121">
        <f t="shared" si="1"/>
        <v>545100</v>
      </c>
      <c r="H47" s="118">
        <f>ROUND(C47*1.1*IFERROR(VLOOKUP($I$2,Verðlyklar!$M$79:$N$93,2,0),VLOOKUP($I$2,Verðlyklar!$L$79:$N$93,3,0)),0)</f>
        <v>7995</v>
      </c>
      <c r="I47" s="120">
        <f>ROUND(H47*VLOOKUP(MONTH($O$3),Verðlyklar!$AA$31:$AB$42,2,0),0)</f>
        <v>7995</v>
      </c>
      <c r="J47" s="120">
        <f t="shared" si="2"/>
        <v>170.10638297872342</v>
      </c>
      <c r="K47" s="122">
        <f t="shared" si="3"/>
        <v>399750</v>
      </c>
    </row>
    <row r="48" spans="2:11" x14ac:dyDescent="0.2">
      <c r="B48" s="117">
        <v>48</v>
      </c>
      <c r="C48" s="118">
        <v>7371</v>
      </c>
      <c r="D48" s="119">
        <f>ROUND(C48*IFERROR(VLOOKUP($I$2,Verðlyklar!$M$79:$N$93,2,0),VLOOKUP($I$2,Verðlyklar!$L$79:$N$93,3,0)),0)</f>
        <v>7371</v>
      </c>
      <c r="E48" s="120">
        <f>ROUND(D48*VLOOKUP(MONTH($O$3),Verðlyklar!$AA$31:$AB$42,2,0),0)</f>
        <v>7371</v>
      </c>
      <c r="F48" s="120">
        <f t="shared" si="0"/>
        <v>153.5625</v>
      </c>
      <c r="G48" s="121">
        <f t="shared" si="1"/>
        <v>552825</v>
      </c>
      <c r="H48" s="118">
        <f>ROUND(C48*1.1*IFERROR(VLOOKUP($I$2,Verðlyklar!$M$79:$N$93,2,0),VLOOKUP($I$2,Verðlyklar!$L$79:$N$93,3,0)),0)</f>
        <v>8108</v>
      </c>
      <c r="I48" s="120">
        <f>ROUND(H48*VLOOKUP(MONTH($O$3),Verðlyklar!$AA$31:$AB$42,2,0),0)</f>
        <v>8108</v>
      </c>
      <c r="J48" s="120">
        <f t="shared" si="2"/>
        <v>168.91666666666666</v>
      </c>
      <c r="K48" s="122">
        <f t="shared" si="3"/>
        <v>405400</v>
      </c>
    </row>
    <row r="49" spans="2:11" x14ac:dyDescent="0.2">
      <c r="B49" s="117">
        <v>49</v>
      </c>
      <c r="C49" s="118">
        <v>7472</v>
      </c>
      <c r="D49" s="119">
        <f>ROUND(C49*IFERROR(VLOOKUP($I$2,Verðlyklar!$M$79:$N$93,2,0),VLOOKUP($I$2,Verðlyklar!$L$79:$N$93,3,0)),0)</f>
        <v>7472</v>
      </c>
      <c r="E49" s="120">
        <f>ROUND(D49*VLOOKUP(MONTH($O$3),Verðlyklar!$AA$31:$AB$42,2,0),0)</f>
        <v>7472</v>
      </c>
      <c r="F49" s="120">
        <f t="shared" si="0"/>
        <v>152.48979591836735</v>
      </c>
      <c r="G49" s="121">
        <f t="shared" si="1"/>
        <v>560400</v>
      </c>
      <c r="H49" s="118">
        <f>ROUND(C49*1.1*IFERROR(VLOOKUP($I$2,Verðlyklar!$M$79:$N$93,2,0),VLOOKUP($I$2,Verðlyklar!$L$79:$N$93,3,0)),0)</f>
        <v>8219</v>
      </c>
      <c r="I49" s="120">
        <f>ROUND(H49*VLOOKUP(MONTH($O$3),Verðlyklar!$AA$31:$AB$42,2,0),0)</f>
        <v>8219</v>
      </c>
      <c r="J49" s="120">
        <f t="shared" si="2"/>
        <v>167.73469387755102</v>
      </c>
      <c r="K49" s="122">
        <f t="shared" si="3"/>
        <v>410950</v>
      </c>
    </row>
    <row r="50" spans="2:11" x14ac:dyDescent="0.2">
      <c r="B50" s="111">
        <v>50</v>
      </c>
      <c r="C50" s="112">
        <v>7571</v>
      </c>
      <c r="D50" s="113">
        <f>ROUND(C50*IFERROR(VLOOKUP($I$2,Verðlyklar!$M$79:$N$93,2,0),VLOOKUP($I$2,Verðlyklar!$L$79:$N$93,3,0)),0)</f>
        <v>7571</v>
      </c>
      <c r="E50" s="114">
        <f>ROUND(D50*VLOOKUP(MONTH($O$3),Verðlyklar!$AA$31:$AB$42,2,0),0)</f>
        <v>7571</v>
      </c>
      <c r="F50" s="114">
        <f t="shared" si="0"/>
        <v>151.41999999999999</v>
      </c>
      <c r="G50" s="115">
        <f t="shared" si="1"/>
        <v>567825</v>
      </c>
      <c r="H50" s="112">
        <f>ROUND(C50*1.1*IFERROR(VLOOKUP($I$2,Verðlyklar!$M$79:$N$93,2,0),VLOOKUP($I$2,Verðlyklar!$L$79:$N$93,3,0)),0)</f>
        <v>8328</v>
      </c>
      <c r="I50" s="114">
        <f>ROUND(H50*VLOOKUP(MONTH($O$3),Verðlyklar!$AA$31:$AB$42,2,0),0)</f>
        <v>8328</v>
      </c>
      <c r="J50" s="114">
        <f t="shared" si="2"/>
        <v>166.56</v>
      </c>
      <c r="K50" s="116">
        <f t="shared" si="3"/>
        <v>416400</v>
      </c>
    </row>
    <row r="51" spans="2:11" x14ac:dyDescent="0.2">
      <c r="B51" s="117">
        <v>51</v>
      </c>
      <c r="C51" s="118">
        <v>7684</v>
      </c>
      <c r="D51" s="119">
        <f>ROUND(C51*IFERROR(VLOOKUP($I$2,Verðlyklar!$M$79:$N$93,2,0),VLOOKUP($I$2,Verðlyklar!$L$79:$N$93,3,0)),0)</f>
        <v>7684</v>
      </c>
      <c r="E51" s="120">
        <f>ROUND(D51*VLOOKUP(MONTH($O$3),Verðlyklar!$AA$31:$AB$42,2,0),0)</f>
        <v>7684</v>
      </c>
      <c r="F51" s="120">
        <f t="shared" si="0"/>
        <v>150.66666666666666</v>
      </c>
      <c r="G51" s="121">
        <f t="shared" si="1"/>
        <v>576300</v>
      </c>
      <c r="H51" s="118">
        <f>ROUND(C51*1.1*IFERROR(VLOOKUP($I$2,Verðlyklar!$M$79:$N$93,2,0),VLOOKUP($I$2,Verðlyklar!$L$79:$N$93,3,0)),0)</f>
        <v>8452</v>
      </c>
      <c r="I51" s="120">
        <f>ROUND(H51*VLOOKUP(MONTH($O$3),Verðlyklar!$AA$31:$AB$42,2,0),0)</f>
        <v>8452</v>
      </c>
      <c r="J51" s="120">
        <f t="shared" si="2"/>
        <v>165.72549019607843</v>
      </c>
      <c r="K51" s="122">
        <f t="shared" si="3"/>
        <v>422600</v>
      </c>
    </row>
    <row r="52" spans="2:11" x14ac:dyDescent="0.2">
      <c r="B52" s="117">
        <v>52</v>
      </c>
      <c r="C52" s="118">
        <v>7795</v>
      </c>
      <c r="D52" s="119">
        <f>ROUND(C52*IFERROR(VLOOKUP($I$2,Verðlyklar!$M$79:$N$93,2,0),VLOOKUP($I$2,Verðlyklar!$L$79:$N$93,3,0)),0)</f>
        <v>7795</v>
      </c>
      <c r="E52" s="120">
        <f>ROUND(D52*VLOOKUP(MONTH($O$3),Verðlyklar!$AA$31:$AB$42,2,0),0)</f>
        <v>7795</v>
      </c>
      <c r="F52" s="120">
        <f t="shared" si="0"/>
        <v>149.90384615384616</v>
      </c>
      <c r="G52" s="121">
        <f t="shared" si="1"/>
        <v>584625</v>
      </c>
      <c r="H52" s="118">
        <f>ROUND(C52*1.1*IFERROR(VLOOKUP($I$2,Verðlyklar!$M$79:$N$93,2,0),VLOOKUP($I$2,Verðlyklar!$L$79:$N$93,3,0)),0)</f>
        <v>8575</v>
      </c>
      <c r="I52" s="120">
        <f>ROUND(H52*VLOOKUP(MONTH($O$3),Verðlyklar!$AA$31:$AB$42,2,0),0)</f>
        <v>8575</v>
      </c>
      <c r="J52" s="120">
        <f t="shared" si="2"/>
        <v>164.90384615384616</v>
      </c>
      <c r="K52" s="122">
        <f t="shared" si="3"/>
        <v>428750</v>
      </c>
    </row>
    <row r="53" spans="2:11" x14ac:dyDescent="0.2">
      <c r="B53" s="117">
        <v>53</v>
      </c>
      <c r="C53" s="118">
        <v>7906</v>
      </c>
      <c r="D53" s="119">
        <f>ROUND(C53*IFERROR(VLOOKUP($I$2,Verðlyklar!$M$79:$N$93,2,0),VLOOKUP($I$2,Verðlyklar!$L$79:$N$93,3,0)),0)</f>
        <v>7906</v>
      </c>
      <c r="E53" s="120">
        <f>ROUND(D53*VLOOKUP(MONTH($O$3),Verðlyklar!$AA$31:$AB$42,2,0),0)</f>
        <v>7906</v>
      </c>
      <c r="F53" s="120">
        <f t="shared" si="0"/>
        <v>149.16981132075472</v>
      </c>
      <c r="G53" s="121">
        <f t="shared" si="1"/>
        <v>592950</v>
      </c>
      <c r="H53" s="118">
        <f>ROUND(C53*1.1*IFERROR(VLOOKUP($I$2,Verðlyklar!$M$79:$N$93,2,0),VLOOKUP($I$2,Verðlyklar!$L$79:$N$93,3,0)),0)</f>
        <v>8697</v>
      </c>
      <c r="I53" s="120">
        <f>ROUND(H53*VLOOKUP(MONTH($O$3),Verðlyklar!$AA$31:$AB$42,2,0),0)</f>
        <v>8697</v>
      </c>
      <c r="J53" s="120">
        <f t="shared" si="2"/>
        <v>164.09433962264151</v>
      </c>
      <c r="K53" s="122">
        <f t="shared" si="3"/>
        <v>434850</v>
      </c>
    </row>
    <row r="54" spans="2:11" x14ac:dyDescent="0.2">
      <c r="B54" s="117">
        <v>54</v>
      </c>
      <c r="C54" s="118">
        <v>8014</v>
      </c>
      <c r="D54" s="119">
        <f>ROUND(C54*IFERROR(VLOOKUP($I$2,Verðlyklar!$M$79:$N$93,2,0),VLOOKUP($I$2,Verðlyklar!$L$79:$N$93,3,0)),0)</f>
        <v>8014</v>
      </c>
      <c r="E54" s="120">
        <f>ROUND(D54*VLOOKUP(MONTH($O$3),Verðlyklar!$AA$31:$AB$42,2,0),0)</f>
        <v>8014</v>
      </c>
      <c r="F54" s="120">
        <f t="shared" si="0"/>
        <v>148.40740740740742</v>
      </c>
      <c r="G54" s="121">
        <f t="shared" si="1"/>
        <v>601050</v>
      </c>
      <c r="H54" s="118">
        <f>ROUND(C54*1.1*IFERROR(VLOOKUP($I$2,Verðlyklar!$M$79:$N$93,2,0),VLOOKUP($I$2,Verðlyklar!$L$79:$N$93,3,0)),0)</f>
        <v>8815</v>
      </c>
      <c r="I54" s="120">
        <f>ROUND(H54*VLOOKUP(MONTH($O$3),Verðlyklar!$AA$31:$AB$42,2,0),0)</f>
        <v>8815</v>
      </c>
      <c r="J54" s="120">
        <f t="shared" si="2"/>
        <v>163.24074074074073</v>
      </c>
      <c r="K54" s="122">
        <f t="shared" si="3"/>
        <v>440750</v>
      </c>
    </row>
    <row r="55" spans="2:11" x14ac:dyDescent="0.2">
      <c r="B55" s="111">
        <v>55</v>
      </c>
      <c r="C55" s="112">
        <v>8122</v>
      </c>
      <c r="D55" s="113">
        <f>ROUND(C55*IFERROR(VLOOKUP($I$2,Verðlyklar!$M$79:$N$93,2,0),VLOOKUP($I$2,Verðlyklar!$L$79:$N$93,3,0)),0)</f>
        <v>8122</v>
      </c>
      <c r="E55" s="114">
        <f>ROUND(D55*VLOOKUP(MONTH($O$3),Verðlyklar!$AA$31:$AB$42,2,0),0)</f>
        <v>8122</v>
      </c>
      <c r="F55" s="114">
        <f t="shared" si="0"/>
        <v>147.67272727272729</v>
      </c>
      <c r="G55" s="115">
        <f t="shared" si="1"/>
        <v>609150</v>
      </c>
      <c r="H55" s="112">
        <f>ROUND(C55*1.1*IFERROR(VLOOKUP($I$2,Verðlyklar!$M$79:$N$93,2,0),VLOOKUP($I$2,Verðlyklar!$L$79:$N$93,3,0)),0)</f>
        <v>8934</v>
      </c>
      <c r="I55" s="114">
        <f>ROUND(H55*VLOOKUP(MONTH($O$3),Verðlyklar!$AA$31:$AB$42,2,0),0)</f>
        <v>8934</v>
      </c>
      <c r="J55" s="114">
        <f t="shared" si="2"/>
        <v>162.43636363636364</v>
      </c>
      <c r="K55" s="116">
        <f t="shared" si="3"/>
        <v>446700</v>
      </c>
    </row>
    <row r="56" spans="2:11" x14ac:dyDescent="0.2">
      <c r="B56" s="117">
        <v>56</v>
      </c>
      <c r="C56" s="118">
        <v>8245</v>
      </c>
      <c r="D56" s="119">
        <f>ROUND(C56*IFERROR(VLOOKUP($I$2,Verðlyklar!$M$79:$N$93,2,0),VLOOKUP($I$2,Verðlyklar!$L$79:$N$93,3,0)),0)</f>
        <v>8245</v>
      </c>
      <c r="E56" s="120">
        <f>ROUND(D56*VLOOKUP(MONTH($O$3),Verðlyklar!$AA$31:$AB$42,2,0),0)</f>
        <v>8245</v>
      </c>
      <c r="F56" s="120">
        <f t="shared" si="0"/>
        <v>147.23214285714286</v>
      </c>
      <c r="G56" s="121">
        <f t="shared" si="1"/>
        <v>618375</v>
      </c>
      <c r="H56" s="118">
        <f>ROUND(C56*1.1*IFERROR(VLOOKUP($I$2,Verðlyklar!$M$79:$N$93,2,0),VLOOKUP($I$2,Verðlyklar!$L$79:$N$93,3,0)),0)</f>
        <v>9070</v>
      </c>
      <c r="I56" s="120">
        <f>ROUND(H56*VLOOKUP(MONTH($O$3),Verðlyklar!$AA$31:$AB$42,2,0),0)</f>
        <v>9070</v>
      </c>
      <c r="J56" s="120">
        <f t="shared" si="2"/>
        <v>161.96428571428572</v>
      </c>
      <c r="K56" s="122">
        <f t="shared" si="3"/>
        <v>453500</v>
      </c>
    </row>
    <row r="57" spans="2:11" x14ac:dyDescent="0.2">
      <c r="B57" s="117">
        <v>57</v>
      </c>
      <c r="C57" s="118">
        <v>8367</v>
      </c>
      <c r="D57" s="119">
        <f>ROUND(C57*IFERROR(VLOOKUP($I$2,Verðlyklar!$M$79:$N$93,2,0),VLOOKUP($I$2,Verðlyklar!$L$79:$N$93,3,0)),0)</f>
        <v>8367</v>
      </c>
      <c r="E57" s="120">
        <f>ROUND(D57*VLOOKUP(MONTH($O$3),Verðlyklar!$AA$31:$AB$42,2,0),0)</f>
        <v>8367</v>
      </c>
      <c r="F57" s="120">
        <f t="shared" si="0"/>
        <v>146.78947368421052</v>
      </c>
      <c r="G57" s="121">
        <f t="shared" si="1"/>
        <v>627525</v>
      </c>
      <c r="H57" s="118">
        <f>ROUND(C57*1.1*IFERROR(VLOOKUP($I$2,Verðlyklar!$M$79:$N$93,2,0),VLOOKUP($I$2,Verðlyklar!$L$79:$N$93,3,0)),0)</f>
        <v>9204</v>
      </c>
      <c r="I57" s="120">
        <f>ROUND(H57*VLOOKUP(MONTH($O$3),Verðlyklar!$AA$31:$AB$42,2,0),0)</f>
        <v>9204</v>
      </c>
      <c r="J57" s="120">
        <f t="shared" si="2"/>
        <v>161.47368421052633</v>
      </c>
      <c r="K57" s="122">
        <f t="shared" si="3"/>
        <v>460200</v>
      </c>
    </row>
    <row r="58" spans="2:11" x14ac:dyDescent="0.2">
      <c r="B58" s="117">
        <v>58</v>
      </c>
      <c r="C58" s="118">
        <v>8488</v>
      </c>
      <c r="D58" s="119">
        <f>ROUND(C58*IFERROR(VLOOKUP($I$2,Verðlyklar!$M$79:$N$93,2,0),VLOOKUP($I$2,Verðlyklar!$L$79:$N$93,3,0)),0)</f>
        <v>8488</v>
      </c>
      <c r="E58" s="120">
        <f>ROUND(D58*VLOOKUP(MONTH($O$3),Verðlyklar!$AA$31:$AB$42,2,0),0)</f>
        <v>8488</v>
      </c>
      <c r="F58" s="120">
        <f t="shared" si="0"/>
        <v>146.34482758620689</v>
      </c>
      <c r="G58" s="121">
        <f t="shared" si="1"/>
        <v>636600</v>
      </c>
      <c r="H58" s="118">
        <f>ROUND(C58*1.1*IFERROR(VLOOKUP($I$2,Verðlyklar!$M$79:$N$93,2,0),VLOOKUP($I$2,Verðlyklar!$L$79:$N$93,3,0)),0)</f>
        <v>9337</v>
      </c>
      <c r="I58" s="120">
        <f>ROUND(H58*VLOOKUP(MONTH($O$3),Verðlyklar!$AA$31:$AB$42,2,0),0)</f>
        <v>9337</v>
      </c>
      <c r="J58" s="120">
        <f t="shared" si="2"/>
        <v>160.98275862068965</v>
      </c>
      <c r="K58" s="122">
        <f t="shared" si="3"/>
        <v>466850</v>
      </c>
    </row>
    <row r="59" spans="2:11" x14ac:dyDescent="0.2">
      <c r="B59" s="117">
        <v>59</v>
      </c>
      <c r="C59" s="118">
        <v>8609</v>
      </c>
      <c r="D59" s="119">
        <f>ROUND(C59*IFERROR(VLOOKUP($I$2,Verðlyklar!$M$79:$N$93,2,0),VLOOKUP($I$2,Verðlyklar!$L$79:$N$93,3,0)),0)</f>
        <v>8609</v>
      </c>
      <c r="E59" s="120">
        <f>ROUND(D59*VLOOKUP(MONTH($O$3),Verðlyklar!$AA$31:$AB$42,2,0),0)</f>
        <v>8609</v>
      </c>
      <c r="F59" s="120">
        <f t="shared" si="0"/>
        <v>145.91525423728814</v>
      </c>
      <c r="G59" s="121">
        <f t="shared" si="1"/>
        <v>645675</v>
      </c>
      <c r="H59" s="118">
        <f>ROUND(C59*1.1*IFERROR(VLOOKUP($I$2,Verðlyklar!$M$79:$N$93,2,0),VLOOKUP($I$2,Verðlyklar!$L$79:$N$93,3,0)),0)</f>
        <v>9470</v>
      </c>
      <c r="I59" s="120">
        <f>ROUND(H59*VLOOKUP(MONTH($O$3),Verðlyklar!$AA$31:$AB$42,2,0),0)</f>
        <v>9470</v>
      </c>
      <c r="J59" s="120">
        <f t="shared" si="2"/>
        <v>160.5084745762712</v>
      </c>
      <c r="K59" s="122">
        <f t="shared" si="3"/>
        <v>473500</v>
      </c>
    </row>
    <row r="60" spans="2:11" x14ac:dyDescent="0.2">
      <c r="B60" s="123">
        <v>60</v>
      </c>
      <c r="C60" s="124">
        <v>8728</v>
      </c>
      <c r="D60" s="125">
        <f>ROUND(C60*IFERROR(VLOOKUP($I$2,Verðlyklar!$M$79:$N$93,2,0),VLOOKUP($I$2,Verðlyklar!$L$79:$N$93,3,0)),0)</f>
        <v>8728</v>
      </c>
      <c r="E60" s="126">
        <f>ROUND(D60*VLOOKUP(MONTH($O$3),Verðlyklar!$AA$31:$AB$42,2,0),0)</f>
        <v>8728</v>
      </c>
      <c r="F60" s="126">
        <f t="shared" si="0"/>
        <v>145.46666666666667</v>
      </c>
      <c r="G60" s="127">
        <f t="shared" si="1"/>
        <v>654600</v>
      </c>
      <c r="H60" s="124">
        <f>ROUND(C60*1.1*IFERROR(VLOOKUP($I$2,Verðlyklar!$M$79:$N$93,2,0),VLOOKUP($I$2,Verðlyklar!$L$79:$N$93,3,0)),0)</f>
        <v>9601</v>
      </c>
      <c r="I60" s="126">
        <f>ROUND(H60*VLOOKUP(MONTH($O$3),Verðlyklar!$AA$31:$AB$42,2,0),0)</f>
        <v>9601</v>
      </c>
      <c r="J60" s="126">
        <f t="shared" si="2"/>
        <v>160.01666666666668</v>
      </c>
      <c r="K60" s="128">
        <f t="shared" si="3"/>
        <v>480050</v>
      </c>
    </row>
    <row r="61" spans="2:11" x14ac:dyDescent="0.2"/>
    <row r="62" spans="2:11" x14ac:dyDescent="0.2">
      <c r="B62" s="233" t="str">
        <f>IF(S1=1,"*Nóvember og desember álag: 15%","*November and December surcharge: 15%")</f>
        <v>*Nóvember og desember álag: 15%</v>
      </c>
      <c r="C62" s="233"/>
      <c r="D62" s="233"/>
      <c r="E62" s="233"/>
      <c r="F62" s="233"/>
      <c r="G62" s="233"/>
      <c r="H62" s="233"/>
      <c r="I62" s="233"/>
      <c r="J62" s="233"/>
      <c r="K62" s="233"/>
    </row>
    <row r="63" spans="2:11" x14ac:dyDescent="0.2"/>
  </sheetData>
  <sheetProtection sheet="1" objects="1" scenarios="1"/>
  <mergeCells count="9">
    <mergeCell ref="B62:K62"/>
    <mergeCell ref="C3:G3"/>
    <mergeCell ref="I2:K2"/>
    <mergeCell ref="E2:H2"/>
    <mergeCell ref="O2:P2"/>
    <mergeCell ref="O3:P3"/>
    <mergeCell ref="M2:N2"/>
    <mergeCell ref="M3:N3"/>
    <mergeCell ref="H3:K3"/>
  </mergeCells>
  <dataValidations count="2">
    <dataValidation type="list" allowBlank="1" showInputMessage="1" showErrorMessage="1" sqref="M3:N3" xr:uid="{D56A3BBE-07BF-446F-83AB-AF9641B52B6D}">
      <formula1>$S$2:$S$3</formula1>
    </dataValidation>
    <dataValidation type="list" allowBlank="1" showInputMessage="1" showErrorMessage="1" sqref="O3:P3" xr:uid="{D5EE551A-9603-4C2A-BB77-3AF591B0406C}">
      <formula1>$U$2:$U$13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IF($S$1=1,Punktar!$AD$3:$AD$17,Punktar!$AD$37:$AD$51)</xm:f>
          </x14:formula1>
          <xm:sqref>I2:K2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T41"/>
  <sheetViews>
    <sheetView showGridLines="0" showRowColHeaders="0" zoomScaleNormal="100" workbookViewId="0">
      <selection activeCell="C5" sqref="C5"/>
    </sheetView>
  </sheetViews>
  <sheetFormatPr defaultColWidth="0" defaultRowHeight="12.75" zeroHeight="1" x14ac:dyDescent="0.2"/>
  <cols>
    <col min="1" max="1" width="2.83203125" style="141" customWidth="1"/>
    <col min="2" max="2" width="23.6640625" style="188" customWidth="1"/>
    <col min="3" max="3" width="20" style="189" customWidth="1"/>
    <col min="4" max="4" width="4.33203125" style="141" customWidth="1"/>
    <col min="5" max="5" width="10.1640625" style="141" bestFit="1" customWidth="1"/>
    <col min="6" max="15" width="7.6640625" style="141" customWidth="1"/>
    <col min="16" max="16" width="2.83203125" style="141" customWidth="1"/>
    <col min="17" max="17" width="2.83203125" style="141" hidden="1" customWidth="1"/>
    <col min="18" max="18" width="22.83203125" style="141" hidden="1" customWidth="1"/>
    <col min="19" max="19" width="9.33203125" style="141" hidden="1" customWidth="1"/>
    <col min="20" max="20" width="2.83203125" style="141" hidden="1" customWidth="1"/>
    <col min="21" max="16384" width="9.33203125" style="141" hidden="1"/>
  </cols>
  <sheetData>
    <row r="1" spans="2:19" ht="12.75" customHeight="1" x14ac:dyDescent="0.2">
      <c r="B1" s="252" t="str">
        <f>IF('Línuleg verðskrá'!$S$1=1,"VOD VERÐSKRÁ","VOD PRICE LIST")</f>
        <v>VOD VERÐSKRÁ</v>
      </c>
      <c r="C1" s="253"/>
      <c r="D1" s="253"/>
      <c r="E1" s="253"/>
      <c r="F1" s="253"/>
      <c r="G1" s="253"/>
      <c r="H1" s="253"/>
      <c r="I1" s="253"/>
      <c r="J1" s="253"/>
      <c r="K1" s="253"/>
      <c r="L1" s="253"/>
      <c r="M1" s="253"/>
      <c r="N1" s="253"/>
      <c r="O1" s="253"/>
    </row>
    <row r="2" spans="2:19" ht="12.75" customHeight="1" x14ac:dyDescent="0.2">
      <c r="B2" s="252"/>
      <c r="C2" s="253"/>
      <c r="D2" s="253"/>
      <c r="E2" s="253"/>
      <c r="F2" s="253"/>
      <c r="G2" s="253"/>
      <c r="H2" s="253"/>
      <c r="I2" s="253"/>
      <c r="J2" s="253"/>
      <c r="K2" s="253"/>
      <c r="L2" s="253"/>
      <c r="M2" s="253"/>
      <c r="N2" s="253"/>
      <c r="O2" s="253"/>
    </row>
    <row r="3" spans="2:19" ht="12.75" customHeight="1" x14ac:dyDescent="0.2">
      <c r="B3" s="252"/>
      <c r="C3" s="253"/>
      <c r="D3" s="253"/>
      <c r="E3" s="253"/>
      <c r="F3" s="253"/>
      <c r="G3" s="253"/>
      <c r="H3" s="253"/>
      <c r="I3" s="253"/>
      <c r="J3" s="253"/>
      <c r="K3" s="253"/>
      <c r="L3" s="253"/>
      <c r="M3" s="253"/>
      <c r="N3" s="253"/>
      <c r="O3" s="253"/>
      <c r="R3" s="187" t="s">
        <v>168</v>
      </c>
      <c r="S3" s="143">
        <v>15</v>
      </c>
    </row>
    <row r="4" spans="2:19" x14ac:dyDescent="0.2"/>
    <row r="5" spans="2:19" s="189" customFormat="1" x14ac:dyDescent="0.2">
      <c r="B5" s="190" t="str">
        <f>IF('Línuleg verðskrá'!$S$1=1,"Mánuður¹","Month¹")</f>
        <v>Mánuður¹</v>
      </c>
      <c r="C5" s="138" t="s">
        <v>163</v>
      </c>
      <c r="E5" s="254" t="str">
        <f>IF('Línuleg verðskrá'!$S$1=1,"← 15% álag í nóvember og desember.","← 15% surcharge in November and December.")</f>
        <v>← 15% álag í nóvember og desember.</v>
      </c>
      <c r="F5" s="254"/>
      <c r="G5" s="254"/>
      <c r="H5" s="254"/>
      <c r="I5" s="254"/>
      <c r="J5" s="254"/>
      <c r="K5" s="254"/>
      <c r="L5" s="254"/>
      <c r="M5" s="254"/>
      <c r="N5" s="254"/>
      <c r="O5" s="254"/>
    </row>
    <row r="6" spans="2:19" x14ac:dyDescent="0.2">
      <c r="B6" s="191"/>
      <c r="C6" s="1"/>
      <c r="R6" s="251" t="s">
        <v>105</v>
      </c>
      <c r="S6" s="251"/>
    </row>
    <row r="7" spans="2:19" x14ac:dyDescent="0.2">
      <c r="B7" s="192" t="s">
        <v>97</v>
      </c>
      <c r="C7" s="193" t="str">
        <f>IF('Línuleg verðskrá'!$S$1=1,"Verð","Price")</f>
        <v>Verð</v>
      </c>
      <c r="E7" s="260" t="str">
        <f>IF('Línuleg verðskrá'!$S$1=1,"VOD í helstu miðlum landsins","VOD in the country's main media")</f>
        <v>VOD í helstu miðlum landsins</v>
      </c>
      <c r="F7" s="260"/>
      <c r="G7" s="260"/>
      <c r="H7" s="260"/>
      <c r="I7" s="260"/>
      <c r="J7" s="260"/>
      <c r="K7" s="260"/>
      <c r="L7" s="260"/>
      <c r="M7" s="260"/>
      <c r="N7" s="260"/>
      <c r="O7" s="260"/>
      <c r="R7" s="194" t="s">
        <v>104</v>
      </c>
      <c r="S7" s="195">
        <f>VLOOKUP(C5,$R$9:$S$20,2,0)</f>
        <v>0</v>
      </c>
    </row>
    <row r="8" spans="2:19" x14ac:dyDescent="0.2">
      <c r="B8" s="139">
        <v>5000</v>
      </c>
      <c r="C8" s="140">
        <f>(B8*$S$3)*(1+$S$7)</f>
        <v>75000</v>
      </c>
      <c r="E8" s="255" t="str">
        <f>IF('Línuleg verðskrá'!$S$1=1,"Blandaðar birtingar í VOD hjá Stöð 2, Stöð 2 Sport, Stöð 2+ og RÚV.","Mixed VOD impressions at Stöð 2, Stöð 2 Sport, Stöð 2+ and RÚV.")</f>
        <v>Blandaðar birtingar í VOD hjá Stöð 2, Stöð 2 Sport, Stöð 2+ og RÚV.</v>
      </c>
      <c r="F8" s="256"/>
      <c r="G8" s="256"/>
      <c r="H8" s="256"/>
      <c r="I8" s="256"/>
      <c r="J8" s="257"/>
      <c r="K8" s="257"/>
      <c r="L8" s="257"/>
      <c r="M8" s="257"/>
      <c r="N8" s="257"/>
      <c r="O8" s="257"/>
      <c r="S8" s="189"/>
    </row>
    <row r="9" spans="2:19" x14ac:dyDescent="0.2">
      <c r="B9" s="142">
        <v>10000</v>
      </c>
      <c r="C9" s="143">
        <f t="shared" ref="C9:C17" si="0">(B9*$S$3)*(1+$S$7)</f>
        <v>150000</v>
      </c>
      <c r="E9" s="258"/>
      <c r="F9" s="258"/>
      <c r="G9" s="258"/>
      <c r="H9" s="258"/>
      <c r="I9" s="258"/>
      <c r="J9" s="259"/>
      <c r="K9" s="259"/>
      <c r="L9" s="259"/>
      <c r="M9" s="259"/>
      <c r="N9" s="259"/>
      <c r="O9" s="259"/>
      <c r="R9" s="187" t="s">
        <v>154</v>
      </c>
      <c r="S9" s="196">
        <v>0</v>
      </c>
    </row>
    <row r="10" spans="2:19" ht="12.75" customHeight="1" x14ac:dyDescent="0.2">
      <c r="B10" s="142">
        <v>15000</v>
      </c>
      <c r="C10" s="143">
        <f t="shared" si="0"/>
        <v>225000</v>
      </c>
      <c r="E10" s="255" t="str">
        <f>IF('Línuleg verðskrá'!$S$1=1,"Birtingarnar róterast jafnt í hlutfalli við fjölda spilana.","The impressions rotate equally in proportion to the number of plays.")</f>
        <v>Birtingarnar róterast jafnt í hlutfalli við fjölda spilana.</v>
      </c>
      <c r="F10" s="256"/>
      <c r="G10" s="256"/>
      <c r="H10" s="256"/>
      <c r="I10" s="256"/>
      <c r="J10" s="257"/>
      <c r="K10" s="257"/>
      <c r="L10" s="257"/>
      <c r="M10" s="257"/>
      <c r="N10" s="257"/>
      <c r="O10" s="257"/>
      <c r="R10" s="187" t="s">
        <v>155</v>
      </c>
      <c r="S10" s="196">
        <v>0</v>
      </c>
    </row>
    <row r="11" spans="2:19" x14ac:dyDescent="0.2">
      <c r="B11" s="142">
        <v>20000</v>
      </c>
      <c r="C11" s="143">
        <f t="shared" si="0"/>
        <v>300000</v>
      </c>
      <c r="E11" s="258"/>
      <c r="F11" s="258"/>
      <c r="G11" s="258"/>
      <c r="H11" s="258"/>
      <c r="I11" s="258"/>
      <c r="J11" s="259"/>
      <c r="K11" s="259"/>
      <c r="L11" s="259"/>
      <c r="M11" s="259"/>
      <c r="N11" s="259"/>
      <c r="O11" s="259"/>
      <c r="R11" s="187" t="s">
        <v>156</v>
      </c>
      <c r="S11" s="196">
        <v>0</v>
      </c>
    </row>
    <row r="12" spans="2:19" x14ac:dyDescent="0.2">
      <c r="B12" s="142">
        <v>25000</v>
      </c>
      <c r="C12" s="143">
        <f t="shared" si="0"/>
        <v>375000</v>
      </c>
      <c r="E12" s="255" t="str">
        <f>IF('Línuleg verðskrá'!$S$1=1,"Verð pr. birtingu 15 kr.","Price per publication is 15 kr.")</f>
        <v>Verð pr. birtingu 15 kr.</v>
      </c>
      <c r="F12" s="256"/>
      <c r="G12" s="256"/>
      <c r="H12" s="256"/>
      <c r="I12" s="256"/>
      <c r="J12" s="257"/>
      <c r="K12" s="257"/>
      <c r="L12" s="257"/>
      <c r="M12" s="257"/>
      <c r="N12" s="257"/>
      <c r="O12" s="257"/>
      <c r="R12" s="187" t="s">
        <v>157</v>
      </c>
      <c r="S12" s="196">
        <v>0</v>
      </c>
    </row>
    <row r="13" spans="2:19" x14ac:dyDescent="0.2">
      <c r="B13" s="142">
        <v>30000</v>
      </c>
      <c r="C13" s="143">
        <f t="shared" si="0"/>
        <v>450000</v>
      </c>
      <c r="E13" s="258"/>
      <c r="F13" s="258"/>
      <c r="G13" s="258"/>
      <c r="H13" s="258"/>
      <c r="I13" s="258"/>
      <c r="J13" s="259"/>
      <c r="K13" s="259"/>
      <c r="L13" s="259"/>
      <c r="M13" s="259"/>
      <c r="N13" s="259"/>
      <c r="O13" s="259"/>
      <c r="R13" s="187" t="s">
        <v>158</v>
      </c>
      <c r="S13" s="196">
        <v>0</v>
      </c>
    </row>
    <row r="14" spans="2:19" x14ac:dyDescent="0.2">
      <c r="B14" s="142">
        <v>35000</v>
      </c>
      <c r="C14" s="143">
        <f t="shared" si="0"/>
        <v>525000</v>
      </c>
      <c r="E14"/>
      <c r="F14"/>
      <c r="G14"/>
      <c r="H14"/>
      <c r="I14"/>
      <c r="J14"/>
      <c r="K14"/>
      <c r="R14" s="187" t="s">
        <v>159</v>
      </c>
      <c r="S14" s="196">
        <v>0</v>
      </c>
    </row>
    <row r="15" spans="2:19" ht="12.75" customHeight="1" x14ac:dyDescent="0.2">
      <c r="B15" s="142">
        <v>40000</v>
      </c>
      <c r="C15" s="143">
        <f t="shared" si="0"/>
        <v>600000</v>
      </c>
      <c r="E15"/>
      <c r="F15"/>
      <c r="G15"/>
      <c r="H15"/>
      <c r="I15"/>
      <c r="J15"/>
      <c r="K15"/>
      <c r="R15" s="187" t="s">
        <v>160</v>
      </c>
      <c r="S15" s="196">
        <v>0</v>
      </c>
    </row>
    <row r="16" spans="2:19" x14ac:dyDescent="0.2">
      <c r="B16" s="142">
        <v>45000</v>
      </c>
      <c r="C16" s="143">
        <f t="shared" si="0"/>
        <v>675000</v>
      </c>
      <c r="E16"/>
      <c r="F16"/>
      <c r="G16"/>
      <c r="H16"/>
      <c r="I16"/>
      <c r="J16"/>
      <c r="K16"/>
      <c r="R16" s="187" t="s">
        <v>161</v>
      </c>
      <c r="S16" s="196">
        <v>0</v>
      </c>
    </row>
    <row r="17" spans="2:19" x14ac:dyDescent="0.2">
      <c r="B17" s="142">
        <v>50000</v>
      </c>
      <c r="C17" s="143">
        <f t="shared" si="0"/>
        <v>750000</v>
      </c>
      <c r="R17" s="187" t="s">
        <v>162</v>
      </c>
      <c r="S17" s="196">
        <v>0</v>
      </c>
    </row>
    <row r="18" spans="2:19" x14ac:dyDescent="0.2">
      <c r="B18" s="1"/>
      <c r="C18" s="1"/>
      <c r="R18" s="187" t="s">
        <v>163</v>
      </c>
      <c r="S18" s="196">
        <v>0</v>
      </c>
    </row>
    <row r="19" spans="2:19" ht="12.75" customHeight="1" x14ac:dyDescent="0.2">
      <c r="B19" s="250" t="str">
        <f>IF('Línuleg verðskrá'!$S$1=1,"¹Mánaðarálag: ","¹Month surcharge: ")&amp;TEXT(S7,"+0%;-0%;0%")</f>
        <v>¹Mánaðarálag: 0%</v>
      </c>
      <c r="C19" s="250"/>
      <c r="R19" s="187" t="s">
        <v>164</v>
      </c>
      <c r="S19" s="196">
        <v>0.15</v>
      </c>
    </row>
    <row r="20" spans="2:19" x14ac:dyDescent="0.2">
      <c r="B20" s="1"/>
      <c r="C20" s="1"/>
      <c r="R20" s="187" t="s">
        <v>165</v>
      </c>
      <c r="S20" s="196">
        <v>0.15</v>
      </c>
    </row>
    <row r="21" spans="2:19" hidden="1" x14ac:dyDescent="0.2">
      <c r="B21" s="1"/>
      <c r="C21" s="1"/>
    </row>
    <row r="22" spans="2:19" hidden="1" x14ac:dyDescent="0.2">
      <c r="B22" s="1"/>
      <c r="C22" s="1"/>
    </row>
    <row r="23" spans="2:19" hidden="1" x14ac:dyDescent="0.2">
      <c r="B23" s="1"/>
      <c r="C23" s="1"/>
    </row>
    <row r="24" spans="2:19" hidden="1" x14ac:dyDescent="0.2">
      <c r="B24" s="1"/>
      <c r="C24" s="1"/>
    </row>
    <row r="25" spans="2:19" hidden="1" x14ac:dyDescent="0.2">
      <c r="B25" s="1"/>
      <c r="C25" s="1"/>
    </row>
    <row r="26" spans="2:19" hidden="1" x14ac:dyDescent="0.2">
      <c r="B26" s="1"/>
      <c r="C26" s="1"/>
    </row>
    <row r="27" spans="2:19" hidden="1" x14ac:dyDescent="0.2">
      <c r="B27" s="1"/>
      <c r="C27" s="1"/>
    </row>
    <row r="28" spans="2:19" hidden="1" x14ac:dyDescent="0.2">
      <c r="B28" s="1"/>
      <c r="C28" s="1"/>
    </row>
    <row r="29" spans="2:19" hidden="1" x14ac:dyDescent="0.2">
      <c r="B29" s="1"/>
      <c r="C29" s="1"/>
    </row>
    <row r="34" spans="2:3" ht="12.75" hidden="1" customHeight="1" x14ac:dyDescent="0.2"/>
    <row r="38" spans="2:3" ht="12.75" hidden="1" customHeight="1" x14ac:dyDescent="0.2"/>
    <row r="40" spans="2:3" hidden="1" x14ac:dyDescent="0.2">
      <c r="B40" s="141"/>
      <c r="C40" s="141"/>
    </row>
    <row r="41" spans="2:3" hidden="1" x14ac:dyDescent="0.2">
      <c r="B41" s="141"/>
      <c r="C41" s="141"/>
    </row>
  </sheetData>
  <sheetProtection sheet="1" objects="1" scenarios="1"/>
  <mergeCells count="8">
    <mergeCell ref="B19:C19"/>
    <mergeCell ref="R6:S6"/>
    <mergeCell ref="B1:O3"/>
    <mergeCell ref="E5:O5"/>
    <mergeCell ref="E8:O9"/>
    <mergeCell ref="E7:O7"/>
    <mergeCell ref="E10:O11"/>
    <mergeCell ref="E12:O13"/>
  </mergeCells>
  <phoneticPr fontId="7" type="noConversion"/>
  <dataValidations count="1">
    <dataValidation type="list" allowBlank="1" showInputMessage="1" showErrorMessage="1" sqref="C5" xr:uid="{00000000-0002-0000-0900-000002000000}">
      <formula1>$R$9:$R$20</formula1>
    </dataValidation>
  </dataValidations>
  <pageMargins left="0.7" right="0.7" top="0.75" bottom="0.75" header="0.3" footer="0.3"/>
  <pageSetup paperSize="9"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D12" sqref="D12"/>
    </sheetView>
  </sheetViews>
  <sheetFormatPr defaultColWidth="0" defaultRowHeight="12.75" zeroHeight="1" x14ac:dyDescent="0.2"/>
  <cols>
    <col min="1" max="1" width="10.6640625" style="80" customWidth="1"/>
    <col min="2" max="2" width="10.6640625" style="81" customWidth="1"/>
    <col min="3" max="5" width="10.6640625" style="80" customWidth="1"/>
    <col min="6" max="6" width="18.5" style="80" bestFit="1" customWidth="1"/>
    <col min="7" max="7" width="14.1640625" style="80" bestFit="1" customWidth="1"/>
    <col min="8" max="8" width="10.6640625" style="79" customWidth="1"/>
    <col min="9" max="11" width="0" style="79" hidden="1" customWidth="1"/>
    <col min="12" max="16384" width="10.6640625" style="79" hidden="1"/>
  </cols>
  <sheetData>
    <row r="1" spans="1:11" x14ac:dyDescent="0.2">
      <c r="A1" s="261" t="s">
        <v>117</v>
      </c>
      <c r="B1" s="263"/>
      <c r="C1" s="263"/>
      <c r="D1" s="263"/>
      <c r="E1" s="263"/>
      <c r="F1" s="263"/>
      <c r="G1" s="262"/>
    </row>
    <row r="2" spans="1:11" x14ac:dyDescent="0.2">
      <c r="A2" s="261" t="s">
        <v>116</v>
      </c>
      <c r="B2" s="262"/>
      <c r="C2" s="261" t="s">
        <v>15</v>
      </c>
      <c r="D2" s="263"/>
      <c r="E2" s="262"/>
      <c r="F2" s="261" t="s">
        <v>115</v>
      </c>
      <c r="G2" s="262"/>
    </row>
    <row r="3" spans="1:11" x14ac:dyDescent="0.2">
      <c r="A3" s="97" t="s">
        <v>114</v>
      </c>
      <c r="B3" s="96" t="s">
        <v>113</v>
      </c>
      <c r="C3" s="97" t="s">
        <v>114</v>
      </c>
      <c r="D3" s="99" t="s">
        <v>113</v>
      </c>
      <c r="E3" s="98" t="s">
        <v>103</v>
      </c>
      <c r="F3" s="97" t="s">
        <v>114</v>
      </c>
      <c r="G3" s="96" t="s">
        <v>113</v>
      </c>
    </row>
    <row r="4" spans="1:11" x14ac:dyDescent="0.2">
      <c r="A4" s="88">
        <v>0</v>
      </c>
      <c r="B4" s="83">
        <v>0</v>
      </c>
      <c r="C4" s="87" t="s">
        <v>109</v>
      </c>
      <c r="D4" s="86" t="s">
        <v>109</v>
      </c>
      <c r="E4" s="85">
        <f t="shared" ref="E4:E12" si="0">SUM(C4:D4)</f>
        <v>0</v>
      </c>
      <c r="F4" s="88" t="s">
        <v>109</v>
      </c>
      <c r="G4" s="83" t="s">
        <v>109</v>
      </c>
    </row>
    <row r="5" spans="1:11" x14ac:dyDescent="0.2">
      <c r="A5" s="88">
        <v>50</v>
      </c>
      <c r="B5" s="83">
        <v>0</v>
      </c>
      <c r="C5" s="87">
        <v>128300</v>
      </c>
      <c r="D5" s="86" t="s">
        <v>109</v>
      </c>
      <c r="E5" s="85">
        <f t="shared" si="0"/>
        <v>128300</v>
      </c>
      <c r="F5" s="84" t="s">
        <v>111</v>
      </c>
      <c r="G5" s="83" t="s">
        <v>109</v>
      </c>
    </row>
    <row r="6" spans="1:11" x14ac:dyDescent="0.2">
      <c r="A6" s="90">
        <v>75</v>
      </c>
      <c r="B6" s="89">
        <v>0</v>
      </c>
      <c r="C6" s="93">
        <v>160350</v>
      </c>
      <c r="D6" s="92" t="s">
        <v>109</v>
      </c>
      <c r="E6" s="91">
        <f t="shared" si="0"/>
        <v>160350</v>
      </c>
      <c r="F6" s="95" t="s">
        <v>110</v>
      </c>
      <c r="G6" s="89" t="s">
        <v>109</v>
      </c>
    </row>
    <row r="7" spans="1:11" x14ac:dyDescent="0.2">
      <c r="A7" s="88">
        <v>0</v>
      </c>
      <c r="B7" s="83">
        <v>10000</v>
      </c>
      <c r="C7" s="87" t="s">
        <v>109</v>
      </c>
      <c r="D7" s="86" t="s">
        <v>109</v>
      </c>
      <c r="E7" s="85">
        <f t="shared" si="0"/>
        <v>0</v>
      </c>
      <c r="F7" s="88" t="s">
        <v>109</v>
      </c>
      <c r="G7" s="83" t="s">
        <v>112</v>
      </c>
      <c r="J7" s="94"/>
    </row>
    <row r="8" spans="1:11" x14ac:dyDescent="0.2">
      <c r="A8" s="88">
        <v>50</v>
      </c>
      <c r="B8" s="83">
        <v>10000</v>
      </c>
      <c r="C8" s="87">
        <v>128300</v>
      </c>
      <c r="D8" s="86">
        <v>149000</v>
      </c>
      <c r="E8" s="85">
        <f t="shared" si="0"/>
        <v>277300</v>
      </c>
      <c r="F8" s="84" t="s">
        <v>111</v>
      </c>
      <c r="G8" s="83" t="s">
        <v>106</v>
      </c>
    </row>
    <row r="9" spans="1:11" x14ac:dyDescent="0.2">
      <c r="A9" s="90">
        <v>75</v>
      </c>
      <c r="B9" s="89">
        <v>10000</v>
      </c>
      <c r="C9" s="93">
        <v>160350</v>
      </c>
      <c r="D9" s="92">
        <v>149000</v>
      </c>
      <c r="E9" s="91">
        <f t="shared" si="0"/>
        <v>309350</v>
      </c>
      <c r="F9" s="90" t="s">
        <v>110</v>
      </c>
      <c r="G9" s="89" t="s">
        <v>106</v>
      </c>
    </row>
    <row r="10" spans="1:11" x14ac:dyDescent="0.2">
      <c r="A10" s="88">
        <v>0</v>
      </c>
      <c r="B10" s="83">
        <v>15000</v>
      </c>
      <c r="C10" s="87" t="s">
        <v>109</v>
      </c>
      <c r="D10" s="86">
        <v>217353.75</v>
      </c>
      <c r="E10" s="85">
        <f t="shared" si="0"/>
        <v>217353.75</v>
      </c>
      <c r="F10" s="88" t="s">
        <v>109</v>
      </c>
      <c r="G10" s="83" t="s">
        <v>106</v>
      </c>
    </row>
    <row r="11" spans="1:11" x14ac:dyDescent="0.2">
      <c r="A11" s="88">
        <v>50</v>
      </c>
      <c r="B11" s="83">
        <v>15000</v>
      </c>
      <c r="C11" s="87">
        <f>C8*0.9</f>
        <v>115470</v>
      </c>
      <c r="D11" s="86">
        <v>217353.75</v>
      </c>
      <c r="E11" s="85">
        <f t="shared" si="0"/>
        <v>332823.75</v>
      </c>
      <c r="F11" s="84" t="s">
        <v>108</v>
      </c>
      <c r="G11" s="83" t="s">
        <v>106</v>
      </c>
      <c r="K11" s="82"/>
    </row>
    <row r="12" spans="1:11" x14ac:dyDescent="0.2">
      <c r="A12" s="88">
        <v>75</v>
      </c>
      <c r="B12" s="83">
        <v>15000</v>
      </c>
      <c r="C12" s="87">
        <f>C9*0.9</f>
        <v>144315</v>
      </c>
      <c r="D12" s="86">
        <v>217353.75</v>
      </c>
      <c r="E12" s="85">
        <f t="shared" si="0"/>
        <v>361668.75</v>
      </c>
      <c r="F12" s="84" t="s">
        <v>107</v>
      </c>
      <c r="G12" s="83" t="s">
        <v>106</v>
      </c>
      <c r="K12" s="82"/>
    </row>
    <row r="13" spans="1:11" x14ac:dyDescent="0.2"/>
  </sheetData>
  <mergeCells count="4">
    <mergeCell ref="A2:B2"/>
    <mergeCell ref="F2:G2"/>
    <mergeCell ref="C2:E2"/>
    <mergeCell ref="A1:G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K206"/>
  <sheetViews>
    <sheetView zoomScaleNormal="100" workbookViewId="0">
      <pane ySplit="2" topLeftCell="A48" activePane="bottomLeft" state="frozen"/>
      <selection activeCell="A69" sqref="A69:A70"/>
      <selection pane="bottomLeft" activeCell="A3" sqref="A3:B90"/>
    </sheetView>
  </sheetViews>
  <sheetFormatPr defaultColWidth="9.33203125" defaultRowHeight="12.75" x14ac:dyDescent="0.2"/>
  <cols>
    <col min="1" max="1" width="49.83203125" style="145" bestFit="1" customWidth="1"/>
    <col min="2" max="2" width="5.5" style="146" bestFit="1" customWidth="1"/>
    <col min="3" max="3" width="4.6640625" style="146" customWidth="1"/>
    <col min="4" max="6" width="4.83203125" style="146" bestFit="1" customWidth="1"/>
    <col min="7" max="9" width="5.1640625" style="146" bestFit="1" customWidth="1"/>
    <col min="10" max="10" width="4.83203125" style="146" bestFit="1" customWidth="1"/>
    <col min="11" max="11" width="5.1640625" style="146" bestFit="1" customWidth="1"/>
    <col min="12" max="16" width="4.83203125" style="146" bestFit="1" customWidth="1"/>
    <col min="17" max="21" width="5.1640625" style="146" bestFit="1" customWidth="1"/>
    <col min="22" max="22" width="4.83203125" style="146" bestFit="1" customWidth="1"/>
    <col min="23" max="23" width="5.1640625" style="146" bestFit="1" customWidth="1"/>
    <col min="24" max="25" width="4.83203125" style="146" bestFit="1" customWidth="1"/>
    <col min="26" max="28" width="5.1640625" style="146" bestFit="1" customWidth="1"/>
    <col min="29" max="29" width="3.5" style="145" bestFit="1" customWidth="1"/>
    <col min="30" max="30" width="21.33203125" style="145" bestFit="1" customWidth="1"/>
    <col min="31" max="31" width="3.1640625" style="146" customWidth="1"/>
    <col min="32" max="32" width="3.5" style="146" bestFit="1" customWidth="1"/>
    <col min="33" max="33" width="2.83203125" style="145" customWidth="1"/>
    <col min="34" max="16384" width="9.33203125" style="145"/>
  </cols>
  <sheetData>
    <row r="1" spans="1:37" x14ac:dyDescent="0.2">
      <c r="A1" s="144"/>
      <c r="B1" s="264" t="s">
        <v>38</v>
      </c>
      <c r="C1" s="265"/>
      <c r="D1" s="265"/>
      <c r="E1" s="265"/>
      <c r="F1" s="266"/>
      <c r="G1" s="264" t="s">
        <v>39</v>
      </c>
      <c r="H1" s="265"/>
      <c r="I1" s="265"/>
      <c r="J1" s="265"/>
      <c r="K1" s="266"/>
      <c r="L1" s="264" t="s">
        <v>40</v>
      </c>
      <c r="M1" s="265"/>
      <c r="N1" s="265"/>
      <c r="O1" s="265"/>
      <c r="P1" s="266"/>
      <c r="Q1" s="264" t="s">
        <v>41</v>
      </c>
      <c r="R1" s="265"/>
      <c r="S1" s="265"/>
      <c r="T1" s="265"/>
      <c r="U1" s="266"/>
      <c r="V1" s="264" t="s">
        <v>42</v>
      </c>
      <c r="W1" s="265"/>
      <c r="X1" s="265"/>
      <c r="Y1" s="265"/>
      <c r="Z1" s="265"/>
      <c r="AA1" s="265"/>
      <c r="AB1" s="266"/>
    </row>
    <row r="2" spans="1:37" ht="48" customHeight="1" x14ac:dyDescent="0.2">
      <c r="A2" s="147" t="s">
        <v>43</v>
      </c>
      <c r="B2" s="148" t="s">
        <v>45</v>
      </c>
      <c r="C2" s="149" t="s">
        <v>46</v>
      </c>
      <c r="D2" s="149" t="s">
        <v>47</v>
      </c>
      <c r="E2" s="149" t="s">
        <v>48</v>
      </c>
      <c r="F2" s="150" t="s">
        <v>49</v>
      </c>
      <c r="G2" s="148" t="s">
        <v>45</v>
      </c>
      <c r="H2" s="149" t="s">
        <v>46</v>
      </c>
      <c r="I2" s="149" t="s">
        <v>47</v>
      </c>
      <c r="J2" s="149" t="s">
        <v>48</v>
      </c>
      <c r="K2" s="150" t="s">
        <v>49</v>
      </c>
      <c r="L2" s="148" t="s">
        <v>45</v>
      </c>
      <c r="M2" s="149" t="s">
        <v>46</v>
      </c>
      <c r="N2" s="149" t="s">
        <v>47</v>
      </c>
      <c r="O2" s="149" t="s">
        <v>48</v>
      </c>
      <c r="P2" s="150" t="s">
        <v>49</v>
      </c>
      <c r="Q2" s="148" t="s">
        <v>45</v>
      </c>
      <c r="R2" s="149" t="s">
        <v>46</v>
      </c>
      <c r="S2" s="149" t="s">
        <v>47</v>
      </c>
      <c r="T2" s="149" t="s">
        <v>48</v>
      </c>
      <c r="U2" s="151" t="s">
        <v>49</v>
      </c>
      <c r="V2" s="152" t="s">
        <v>50</v>
      </c>
      <c r="W2" s="149" t="s">
        <v>51</v>
      </c>
      <c r="X2" s="149" t="s">
        <v>52</v>
      </c>
      <c r="Y2" s="149" t="s">
        <v>53</v>
      </c>
      <c r="Z2" s="149" t="s">
        <v>54</v>
      </c>
      <c r="AA2" s="149" t="s">
        <v>55</v>
      </c>
      <c r="AB2" s="150" t="s">
        <v>56</v>
      </c>
      <c r="AC2" s="149" t="s">
        <v>149</v>
      </c>
      <c r="AD2" s="153" t="s">
        <v>99</v>
      </c>
      <c r="AE2" s="154" t="s">
        <v>153</v>
      </c>
      <c r="AH2" s="145">
        <v>9885</v>
      </c>
      <c r="AI2" s="145">
        <f>ROUND(AH2/2410,0)</f>
        <v>4</v>
      </c>
    </row>
    <row r="3" spans="1:37" x14ac:dyDescent="0.2">
      <c r="A3" s="155" t="s">
        <v>98</v>
      </c>
      <c r="B3" s="172">
        <v>1</v>
      </c>
      <c r="C3" s="170">
        <f t="shared" ref="C3:L12" si="0">IF(OR($B3="-",$B3=""),"-",$B3*C$203)</f>
        <v>0.8232761206117003</v>
      </c>
      <c r="D3" s="170">
        <f t="shared" si="0"/>
        <v>0.90353288529925957</v>
      </c>
      <c r="E3" s="170">
        <f t="shared" si="0"/>
        <v>0.85628881098681531</v>
      </c>
      <c r="F3" s="173">
        <f t="shared" si="0"/>
        <v>0.77303987554591092</v>
      </c>
      <c r="G3" s="172">
        <f t="shared" si="0"/>
        <v>1.1313344279057151</v>
      </c>
      <c r="H3" s="170">
        <f t="shared" si="0"/>
        <v>0.90896815084789628</v>
      </c>
      <c r="I3" s="170">
        <f t="shared" si="0"/>
        <v>1.0079687920150928</v>
      </c>
      <c r="J3" s="170">
        <f t="shared" si="0"/>
        <v>0.90696449965337789</v>
      </c>
      <c r="K3" s="173">
        <f t="shared" si="0"/>
        <v>0.95368117135675234</v>
      </c>
      <c r="L3" s="172">
        <f t="shared" si="0"/>
        <v>0.87308447578761483</v>
      </c>
      <c r="M3" s="170">
        <f t="shared" ref="M3:V12" si="1">IF(OR($B3="-",$B3=""),"-",$B3*M$203)</f>
        <v>0.73822124382546983</v>
      </c>
      <c r="N3" s="170">
        <f t="shared" si="1"/>
        <v>0.80133926112985798</v>
      </c>
      <c r="O3" s="170">
        <f t="shared" si="1"/>
        <v>0.79852517136529755</v>
      </c>
      <c r="P3" s="173">
        <f t="shared" si="1"/>
        <v>0.60142503995997998</v>
      </c>
      <c r="Q3" s="172">
        <f t="shared" si="1"/>
        <v>2.488882911527972</v>
      </c>
      <c r="R3" s="170">
        <f t="shared" si="1"/>
        <v>2.2466104920237604</v>
      </c>
      <c r="S3" s="170">
        <f t="shared" si="1"/>
        <v>2.3584650213714569</v>
      </c>
      <c r="T3" s="170">
        <f t="shared" si="1"/>
        <v>2.3513976993504686</v>
      </c>
      <c r="U3" s="174">
        <f t="shared" si="1"/>
        <v>1.9940624219047085</v>
      </c>
      <c r="V3" s="175">
        <f t="shared" si="1"/>
        <v>0.68894649896180182</v>
      </c>
      <c r="W3" s="170">
        <f t="shared" ref="W3:AB12" si="2">IF(OR($B3="-",$B3=""),"-",$B3*W$203)</f>
        <v>0.76977573005351874</v>
      </c>
      <c r="X3" s="170">
        <f t="shared" si="2"/>
        <v>0.67704193616621733</v>
      </c>
      <c r="Y3" s="170">
        <f t="shared" si="2"/>
        <v>0.98596037509893597</v>
      </c>
      <c r="Z3" s="170">
        <f t="shared" si="2"/>
        <v>1.1610281396547708</v>
      </c>
      <c r="AA3" s="170">
        <f t="shared" si="2"/>
        <v>1.6397081741158284</v>
      </c>
      <c r="AB3" s="173">
        <f t="shared" si="2"/>
        <v>1.1497926254098161</v>
      </c>
      <c r="AC3" s="170">
        <f>IF(A3="","",COUNTIF('Vika 36'!$B$5:$V$20,A3)+
COUNTIF('Vika 37'!$B$5:$V$20,A3)+
COUNTIF('Vika 38'!$B$5:$V$20,A3)+
COUNTIF('Vika 39'!$B$5:$V$20,A3)+
COUNTIF('Vika 40'!$B$5:$V$20,A3)+
COUNTIF('Vika 41'!$B$5:$V$20,A3)+
COUNTIF('Vika 42'!$B$5:$V$20,A3)+
COUNTIF('Vika 43'!$B$5:$V$20,A3)+
COUNTIF('Vika 44'!$B$5:$V$20,A3)+
COUNTIF('Vika 45'!$B$5:$V$20,A3)+
COUNTIF('Vika 46'!$B$5:$V$20,A3)+
COUNTIF('Vika 47'!$B$5:$V$20,A3)+
COUNTIF('Vika 48'!$B$5:$V$20,A3)+
COUNTIF('Vika x5'!$B$5:$V$20,A3))</f>
        <v>12</v>
      </c>
      <c r="AD3" s="145" t="s">
        <v>57</v>
      </c>
      <c r="AE3" s="146">
        <v>2</v>
      </c>
      <c r="AF3" s="146">
        <v>4</v>
      </c>
    </row>
    <row r="4" spans="1:37" x14ac:dyDescent="0.2">
      <c r="A4" s="155" t="s">
        <v>187</v>
      </c>
      <c r="B4" s="172">
        <v>1</v>
      </c>
      <c r="C4" s="170">
        <f t="shared" si="0"/>
        <v>0.8232761206117003</v>
      </c>
      <c r="D4" s="170">
        <f t="shared" si="0"/>
        <v>0.90353288529925957</v>
      </c>
      <c r="E4" s="170">
        <f t="shared" si="0"/>
        <v>0.85628881098681531</v>
      </c>
      <c r="F4" s="173">
        <f t="shared" si="0"/>
        <v>0.77303987554591092</v>
      </c>
      <c r="G4" s="172">
        <f t="shared" si="0"/>
        <v>1.1313344279057151</v>
      </c>
      <c r="H4" s="170">
        <f t="shared" si="0"/>
        <v>0.90896815084789628</v>
      </c>
      <c r="I4" s="170">
        <f t="shared" si="0"/>
        <v>1.0079687920150928</v>
      </c>
      <c r="J4" s="170">
        <f t="shared" si="0"/>
        <v>0.90696449965337789</v>
      </c>
      <c r="K4" s="173">
        <f t="shared" si="0"/>
        <v>0.95368117135675234</v>
      </c>
      <c r="L4" s="172">
        <f t="shared" si="0"/>
        <v>0.87308447578761483</v>
      </c>
      <c r="M4" s="170">
        <f t="shared" si="1"/>
        <v>0.73822124382546983</v>
      </c>
      <c r="N4" s="170">
        <f t="shared" si="1"/>
        <v>0.80133926112985798</v>
      </c>
      <c r="O4" s="170">
        <f t="shared" si="1"/>
        <v>0.79852517136529755</v>
      </c>
      <c r="P4" s="173">
        <f t="shared" si="1"/>
        <v>0.60142503995997998</v>
      </c>
      <c r="Q4" s="172">
        <f t="shared" si="1"/>
        <v>2.488882911527972</v>
      </c>
      <c r="R4" s="170">
        <f t="shared" si="1"/>
        <v>2.2466104920237604</v>
      </c>
      <c r="S4" s="170">
        <f t="shared" si="1"/>
        <v>2.3584650213714569</v>
      </c>
      <c r="T4" s="170">
        <f t="shared" si="1"/>
        <v>2.3513976993504686</v>
      </c>
      <c r="U4" s="174">
        <f t="shared" si="1"/>
        <v>1.9940624219047085</v>
      </c>
      <c r="V4" s="175">
        <f t="shared" si="1"/>
        <v>0.68894649896180182</v>
      </c>
      <c r="W4" s="170">
        <f t="shared" si="2"/>
        <v>0.76977573005351874</v>
      </c>
      <c r="X4" s="170">
        <f t="shared" si="2"/>
        <v>0.67704193616621733</v>
      </c>
      <c r="Y4" s="170">
        <f t="shared" si="2"/>
        <v>0.98596037509893597</v>
      </c>
      <c r="Z4" s="170">
        <f t="shared" si="2"/>
        <v>1.1610281396547708</v>
      </c>
      <c r="AA4" s="170">
        <f t="shared" si="2"/>
        <v>1.6397081741158284</v>
      </c>
      <c r="AB4" s="173">
        <f t="shared" si="2"/>
        <v>1.1497926254098161</v>
      </c>
      <c r="AC4" s="170">
        <f>IF(A4="","",COUNTIF('Vika 36'!$B$5:$V$20,A4)+
COUNTIF('Vika 37'!$B$5:$V$20,A4)+
COUNTIF('Vika 38'!$B$5:$V$20,A4)+
COUNTIF('Vika 39'!$B$5:$V$20,A4)+
COUNTIF('Vika 40'!$B$5:$V$20,A4)+
COUNTIF('Vika 41'!$B$5:$V$20,A4)+
COUNTIF('Vika 42'!$B$5:$V$20,A4)+
COUNTIF('Vika 43'!$B$5:$V$20,A4)+
COUNTIF('Vika 44'!$B$5:$V$20,A4)+
COUNTIF('Vika 45'!$B$5:$V$20,A4)+
COUNTIF('Vika 46'!$B$5:$V$20,A4)+
COUNTIF('Vika 47'!$B$5:$V$20,A4)+
COUNTIF('Vika 48'!$B$5:$V$20,A4)+
COUNTIF('Vika x5'!$B$5:$V$20,A4))</f>
        <v>13</v>
      </c>
      <c r="AD4" s="145" t="s">
        <v>58</v>
      </c>
      <c r="AE4" s="146">
        <v>3</v>
      </c>
      <c r="AF4" s="146">
        <v>5</v>
      </c>
      <c r="AI4" s="176">
        <v>6927</v>
      </c>
      <c r="AJ4" s="145">
        <f>(AI4/AK6)*100</f>
        <v>2.8931332461815402</v>
      </c>
    </row>
    <row r="5" spans="1:37" x14ac:dyDescent="0.2">
      <c r="A5" s="155" t="s">
        <v>219</v>
      </c>
      <c r="B5" s="172">
        <v>1</v>
      </c>
      <c r="C5" s="170">
        <f t="shared" si="0"/>
        <v>0.8232761206117003</v>
      </c>
      <c r="D5" s="170">
        <f t="shared" si="0"/>
        <v>0.90353288529925957</v>
      </c>
      <c r="E5" s="170">
        <f t="shared" si="0"/>
        <v>0.85628881098681531</v>
      </c>
      <c r="F5" s="173">
        <f t="shared" si="0"/>
        <v>0.77303987554591092</v>
      </c>
      <c r="G5" s="172">
        <f t="shared" si="0"/>
        <v>1.1313344279057151</v>
      </c>
      <c r="H5" s="170">
        <f t="shared" si="0"/>
        <v>0.90896815084789628</v>
      </c>
      <c r="I5" s="170">
        <f t="shared" si="0"/>
        <v>1.0079687920150928</v>
      </c>
      <c r="J5" s="170">
        <f t="shared" si="0"/>
        <v>0.90696449965337789</v>
      </c>
      <c r="K5" s="173">
        <f t="shared" si="0"/>
        <v>0.95368117135675234</v>
      </c>
      <c r="L5" s="172">
        <f t="shared" si="0"/>
        <v>0.87308447578761483</v>
      </c>
      <c r="M5" s="170">
        <f t="shared" si="1"/>
        <v>0.73822124382546983</v>
      </c>
      <c r="N5" s="170">
        <f t="shared" si="1"/>
        <v>0.80133926112985798</v>
      </c>
      <c r="O5" s="170">
        <f t="shared" si="1"/>
        <v>0.79852517136529755</v>
      </c>
      <c r="P5" s="173">
        <f t="shared" si="1"/>
        <v>0.60142503995997998</v>
      </c>
      <c r="Q5" s="172">
        <f t="shared" si="1"/>
        <v>2.488882911527972</v>
      </c>
      <c r="R5" s="170">
        <f t="shared" si="1"/>
        <v>2.2466104920237604</v>
      </c>
      <c r="S5" s="170">
        <f t="shared" si="1"/>
        <v>2.3584650213714569</v>
      </c>
      <c r="T5" s="170">
        <f t="shared" si="1"/>
        <v>2.3513976993504686</v>
      </c>
      <c r="U5" s="174">
        <f t="shared" si="1"/>
        <v>1.9940624219047085</v>
      </c>
      <c r="V5" s="175">
        <f t="shared" si="1"/>
        <v>0.68894649896180182</v>
      </c>
      <c r="W5" s="170">
        <f t="shared" si="2"/>
        <v>0.76977573005351874</v>
      </c>
      <c r="X5" s="170">
        <f t="shared" si="2"/>
        <v>0.67704193616621733</v>
      </c>
      <c r="Y5" s="170">
        <f t="shared" si="2"/>
        <v>0.98596037509893597</v>
      </c>
      <c r="Z5" s="170">
        <f t="shared" si="2"/>
        <v>1.1610281396547708</v>
      </c>
      <c r="AA5" s="170">
        <f t="shared" si="2"/>
        <v>1.6397081741158284</v>
      </c>
      <c r="AB5" s="173">
        <f t="shared" si="2"/>
        <v>1.1497926254098161</v>
      </c>
      <c r="AC5" s="170">
        <f>IF(A5="","",COUNTIF('Vika 36'!$B$5:$V$20,A5)+
COUNTIF('Vika 37'!$B$5:$V$20,A5)+
COUNTIF('Vika 38'!$B$5:$V$20,A5)+
COUNTIF('Vika 39'!$B$5:$V$20,A5)+
COUNTIF('Vika 40'!$B$5:$V$20,A5)+
COUNTIF('Vika 41'!$B$5:$V$20,A5)+
COUNTIF('Vika 42'!$B$5:$V$20,A5)+
COUNTIF('Vika 43'!$B$5:$V$20,A5)+
COUNTIF('Vika 44'!$B$5:$V$20,A5)+
COUNTIF('Vika 45'!$B$5:$V$20,A5)+
COUNTIF('Vika 46'!$B$5:$V$20,A5)+
COUNTIF('Vika 47'!$B$5:$V$20,A5)+
COUNTIF('Vika 48'!$B$5:$V$20,A5)+
COUNTIF('Vika x5'!$B$5:$V$20,A5))</f>
        <v>8</v>
      </c>
      <c r="AD5" s="145" t="s">
        <v>59</v>
      </c>
      <c r="AE5" s="146">
        <v>4</v>
      </c>
      <c r="AF5" s="146">
        <v>6</v>
      </c>
      <c r="AI5" s="176">
        <f>AI4*2</f>
        <v>13854</v>
      </c>
      <c r="AJ5" s="145">
        <f>(AI5/AK6)*100</f>
        <v>5.7862664923630804</v>
      </c>
    </row>
    <row r="6" spans="1:37" x14ac:dyDescent="0.2">
      <c r="A6" s="155" t="s">
        <v>301</v>
      </c>
      <c r="B6" s="172">
        <v>2</v>
      </c>
      <c r="C6" s="170">
        <f t="shared" si="0"/>
        <v>1.6465522412234006</v>
      </c>
      <c r="D6" s="170">
        <f t="shared" si="0"/>
        <v>1.8070657705985191</v>
      </c>
      <c r="E6" s="170">
        <f t="shared" si="0"/>
        <v>1.7125776219736306</v>
      </c>
      <c r="F6" s="173">
        <f t="shared" si="0"/>
        <v>1.5460797510918218</v>
      </c>
      <c r="G6" s="172">
        <f t="shared" si="0"/>
        <v>2.2626688558114303</v>
      </c>
      <c r="H6" s="170">
        <f t="shared" si="0"/>
        <v>1.8179363016957926</v>
      </c>
      <c r="I6" s="170">
        <f t="shared" si="0"/>
        <v>2.0159375840301856</v>
      </c>
      <c r="J6" s="170">
        <f t="shared" si="0"/>
        <v>1.8139289993067558</v>
      </c>
      <c r="K6" s="173">
        <f t="shared" si="0"/>
        <v>1.9073623427135047</v>
      </c>
      <c r="L6" s="172">
        <f t="shared" si="0"/>
        <v>1.7461689515752297</v>
      </c>
      <c r="M6" s="170">
        <f t="shared" si="1"/>
        <v>1.4764424876509397</v>
      </c>
      <c r="N6" s="170">
        <f t="shared" si="1"/>
        <v>1.602678522259716</v>
      </c>
      <c r="O6" s="170">
        <f t="shared" si="1"/>
        <v>1.5970503427305951</v>
      </c>
      <c r="P6" s="173">
        <f t="shared" si="1"/>
        <v>1.20285007991996</v>
      </c>
      <c r="Q6" s="172">
        <f t="shared" si="1"/>
        <v>4.9777658230559441</v>
      </c>
      <c r="R6" s="170">
        <f t="shared" si="1"/>
        <v>4.4932209840475208</v>
      </c>
      <c r="S6" s="170">
        <f t="shared" si="1"/>
        <v>4.7169300427429137</v>
      </c>
      <c r="T6" s="170">
        <f t="shared" si="1"/>
        <v>4.7027953987009372</v>
      </c>
      <c r="U6" s="174">
        <f t="shared" si="1"/>
        <v>3.988124843809417</v>
      </c>
      <c r="V6" s="175">
        <f t="shared" si="1"/>
        <v>1.3778929979236036</v>
      </c>
      <c r="W6" s="170">
        <f t="shared" si="2"/>
        <v>1.5395514601070375</v>
      </c>
      <c r="X6" s="170">
        <f t="shared" si="2"/>
        <v>1.3540838723324347</v>
      </c>
      <c r="Y6" s="170">
        <f t="shared" si="2"/>
        <v>1.9719207501978719</v>
      </c>
      <c r="Z6" s="170">
        <f t="shared" si="2"/>
        <v>2.3220562793095416</v>
      </c>
      <c r="AA6" s="170">
        <f t="shared" si="2"/>
        <v>3.2794163482316567</v>
      </c>
      <c r="AB6" s="173">
        <f t="shared" si="2"/>
        <v>2.2995852508196322</v>
      </c>
      <c r="AC6" s="170">
        <f>IF(A6="","",COUNTIF('Vika 36'!$B$5:$V$20,A6)+
COUNTIF('Vika 37'!$B$5:$V$20,A6)+
COUNTIF('Vika 38'!$B$5:$V$20,A6)+
COUNTIF('Vika 39'!$B$5:$V$20,A6)+
COUNTIF('Vika 40'!$B$5:$V$20,A6)+
COUNTIF('Vika 41'!$B$5:$V$20,A6)+
COUNTIF('Vika 42'!$B$5:$V$20,A6)+
COUNTIF('Vika 43'!$B$5:$V$20,A6)+
COUNTIF('Vika 44'!$B$5:$V$20,A6)+
COUNTIF('Vika 45'!$B$5:$V$20,A6)+
COUNTIF('Vika 46'!$B$5:$V$20,A6)+
COUNTIF('Vika 47'!$B$5:$V$20,A6)+
COUNTIF('Vika 48'!$B$5:$V$20,A6)+
COUNTIF('Vika x5'!$B$5:$V$20,A6))</f>
        <v>1</v>
      </c>
      <c r="AD6" s="145" t="s">
        <v>60</v>
      </c>
      <c r="AE6" s="146">
        <v>5</v>
      </c>
      <c r="AF6" s="146">
        <v>7</v>
      </c>
      <c r="AK6" s="176">
        <v>239429</v>
      </c>
    </row>
    <row r="7" spans="1:37" x14ac:dyDescent="0.2">
      <c r="A7" s="155" t="s">
        <v>291</v>
      </c>
      <c r="B7" s="172">
        <v>2</v>
      </c>
      <c r="C7" s="170">
        <f t="shared" si="0"/>
        <v>1.6465522412234006</v>
      </c>
      <c r="D7" s="170">
        <f t="shared" si="0"/>
        <v>1.8070657705985191</v>
      </c>
      <c r="E7" s="170">
        <f t="shared" si="0"/>
        <v>1.7125776219736306</v>
      </c>
      <c r="F7" s="173">
        <f t="shared" si="0"/>
        <v>1.5460797510918218</v>
      </c>
      <c r="G7" s="172">
        <f t="shared" si="0"/>
        <v>2.2626688558114303</v>
      </c>
      <c r="H7" s="170">
        <f t="shared" si="0"/>
        <v>1.8179363016957926</v>
      </c>
      <c r="I7" s="170">
        <f t="shared" si="0"/>
        <v>2.0159375840301856</v>
      </c>
      <c r="J7" s="170">
        <f t="shared" si="0"/>
        <v>1.8139289993067558</v>
      </c>
      <c r="K7" s="173">
        <f t="shared" si="0"/>
        <v>1.9073623427135047</v>
      </c>
      <c r="L7" s="172">
        <f t="shared" si="0"/>
        <v>1.7461689515752297</v>
      </c>
      <c r="M7" s="170">
        <f t="shared" si="1"/>
        <v>1.4764424876509397</v>
      </c>
      <c r="N7" s="170">
        <f t="shared" si="1"/>
        <v>1.602678522259716</v>
      </c>
      <c r="O7" s="170">
        <f t="shared" si="1"/>
        <v>1.5970503427305951</v>
      </c>
      <c r="P7" s="173">
        <f t="shared" si="1"/>
        <v>1.20285007991996</v>
      </c>
      <c r="Q7" s="172">
        <f t="shared" si="1"/>
        <v>4.9777658230559441</v>
      </c>
      <c r="R7" s="170">
        <f t="shared" si="1"/>
        <v>4.4932209840475208</v>
      </c>
      <c r="S7" s="170">
        <f t="shared" si="1"/>
        <v>4.7169300427429137</v>
      </c>
      <c r="T7" s="170">
        <f t="shared" si="1"/>
        <v>4.7027953987009372</v>
      </c>
      <c r="U7" s="174">
        <f t="shared" si="1"/>
        <v>3.988124843809417</v>
      </c>
      <c r="V7" s="175">
        <f t="shared" si="1"/>
        <v>1.3778929979236036</v>
      </c>
      <c r="W7" s="170">
        <f t="shared" si="2"/>
        <v>1.5395514601070375</v>
      </c>
      <c r="X7" s="170">
        <f t="shared" si="2"/>
        <v>1.3540838723324347</v>
      </c>
      <c r="Y7" s="170">
        <f t="shared" si="2"/>
        <v>1.9719207501978719</v>
      </c>
      <c r="Z7" s="170">
        <f t="shared" si="2"/>
        <v>2.3220562793095416</v>
      </c>
      <c r="AA7" s="170">
        <f t="shared" si="2"/>
        <v>3.2794163482316567</v>
      </c>
      <c r="AB7" s="173">
        <f t="shared" si="2"/>
        <v>2.2995852508196322</v>
      </c>
      <c r="AC7" s="170">
        <f>IF(A7="","",COUNTIF('Vika 36'!$B$5:$V$20,A7)+
COUNTIF('Vika 37'!$B$5:$V$20,A7)+
COUNTIF('Vika 38'!$B$5:$V$20,A7)+
COUNTIF('Vika 39'!$B$5:$V$20,A7)+
COUNTIF('Vika 40'!$B$5:$V$20,A7)+
COUNTIF('Vika 41'!$B$5:$V$20,A7)+
COUNTIF('Vika 42'!$B$5:$V$20,A7)+
COUNTIF('Vika 43'!$B$5:$V$20,A7)+
COUNTIF('Vika 44'!$B$5:$V$20,A7)+
COUNTIF('Vika 45'!$B$5:$V$20,A7)+
COUNTIF('Vika 46'!$B$5:$V$20,A7)+
COUNTIF('Vika 47'!$B$5:$V$20,A7)+
COUNTIF('Vika 48'!$B$5:$V$20,A7)+
COUNTIF('Vika x5'!$B$5:$V$20,A7))</f>
        <v>1</v>
      </c>
      <c r="AD7" s="145" t="s">
        <v>61</v>
      </c>
      <c r="AE7" s="146">
        <v>6</v>
      </c>
      <c r="AF7" s="146">
        <v>8</v>
      </c>
    </row>
    <row r="8" spans="1:37" x14ac:dyDescent="0.2">
      <c r="A8" s="155" t="s">
        <v>247</v>
      </c>
      <c r="B8" s="172">
        <v>2</v>
      </c>
      <c r="C8" s="170">
        <f t="shared" si="0"/>
        <v>1.6465522412234006</v>
      </c>
      <c r="D8" s="170">
        <f t="shared" si="0"/>
        <v>1.8070657705985191</v>
      </c>
      <c r="E8" s="170">
        <f t="shared" si="0"/>
        <v>1.7125776219736306</v>
      </c>
      <c r="F8" s="173">
        <f t="shared" si="0"/>
        <v>1.5460797510918218</v>
      </c>
      <c r="G8" s="172">
        <f t="shared" si="0"/>
        <v>2.2626688558114303</v>
      </c>
      <c r="H8" s="170">
        <f t="shared" si="0"/>
        <v>1.8179363016957926</v>
      </c>
      <c r="I8" s="170">
        <f t="shared" si="0"/>
        <v>2.0159375840301856</v>
      </c>
      <c r="J8" s="170">
        <f t="shared" si="0"/>
        <v>1.8139289993067558</v>
      </c>
      <c r="K8" s="173">
        <f t="shared" si="0"/>
        <v>1.9073623427135047</v>
      </c>
      <c r="L8" s="172">
        <f t="shared" si="0"/>
        <v>1.7461689515752297</v>
      </c>
      <c r="M8" s="170">
        <f t="shared" si="1"/>
        <v>1.4764424876509397</v>
      </c>
      <c r="N8" s="170">
        <f t="shared" si="1"/>
        <v>1.602678522259716</v>
      </c>
      <c r="O8" s="170">
        <f t="shared" si="1"/>
        <v>1.5970503427305951</v>
      </c>
      <c r="P8" s="173">
        <f t="shared" si="1"/>
        <v>1.20285007991996</v>
      </c>
      <c r="Q8" s="172">
        <f t="shared" si="1"/>
        <v>4.9777658230559441</v>
      </c>
      <c r="R8" s="170">
        <f t="shared" si="1"/>
        <v>4.4932209840475208</v>
      </c>
      <c r="S8" s="170">
        <f t="shared" si="1"/>
        <v>4.7169300427429137</v>
      </c>
      <c r="T8" s="170">
        <f t="shared" si="1"/>
        <v>4.7027953987009372</v>
      </c>
      <c r="U8" s="174">
        <f t="shared" si="1"/>
        <v>3.988124843809417</v>
      </c>
      <c r="V8" s="175">
        <f t="shared" si="1"/>
        <v>1.3778929979236036</v>
      </c>
      <c r="W8" s="170">
        <f t="shared" si="2"/>
        <v>1.5395514601070375</v>
      </c>
      <c r="X8" s="170">
        <f t="shared" si="2"/>
        <v>1.3540838723324347</v>
      </c>
      <c r="Y8" s="170">
        <f t="shared" si="2"/>
        <v>1.9719207501978719</v>
      </c>
      <c r="Z8" s="170">
        <f t="shared" si="2"/>
        <v>2.3220562793095416</v>
      </c>
      <c r="AA8" s="170">
        <f t="shared" si="2"/>
        <v>3.2794163482316567</v>
      </c>
      <c r="AB8" s="173">
        <f t="shared" si="2"/>
        <v>2.2995852508196322</v>
      </c>
      <c r="AC8" s="170">
        <f>IF(A8="","",COUNTIF('Vika 36'!$B$5:$V$20,A8)+
COUNTIF('Vika 37'!$B$5:$V$20,A8)+
COUNTIF('Vika 38'!$B$5:$V$20,A8)+
COUNTIF('Vika 39'!$B$5:$V$20,A8)+
COUNTIF('Vika 40'!$B$5:$V$20,A8)+
COUNTIF('Vika 41'!$B$5:$V$20,A8)+
COUNTIF('Vika 42'!$B$5:$V$20,A8)+
COUNTIF('Vika 43'!$B$5:$V$20,A8)+
COUNTIF('Vika 44'!$B$5:$V$20,A8)+
COUNTIF('Vika 45'!$B$5:$V$20,A8)+
COUNTIF('Vika 46'!$B$5:$V$20,A8)+
COUNTIF('Vika 47'!$B$5:$V$20,A8)+
COUNTIF('Vika 48'!$B$5:$V$20,A8)+
COUNTIF('Vika x5'!$B$5:$V$20,A8))</f>
        <v>1</v>
      </c>
      <c r="AD8" s="145" t="s">
        <v>62</v>
      </c>
      <c r="AE8" s="146">
        <v>7</v>
      </c>
      <c r="AF8" s="146">
        <v>9</v>
      </c>
    </row>
    <row r="9" spans="1:37" x14ac:dyDescent="0.2">
      <c r="A9" s="155" t="s">
        <v>299</v>
      </c>
      <c r="B9" s="172">
        <v>2</v>
      </c>
      <c r="C9" s="170">
        <f t="shared" si="0"/>
        <v>1.6465522412234006</v>
      </c>
      <c r="D9" s="170">
        <f t="shared" si="0"/>
        <v>1.8070657705985191</v>
      </c>
      <c r="E9" s="170">
        <f t="shared" si="0"/>
        <v>1.7125776219736306</v>
      </c>
      <c r="F9" s="173">
        <f t="shared" si="0"/>
        <v>1.5460797510918218</v>
      </c>
      <c r="G9" s="172">
        <f t="shared" si="0"/>
        <v>2.2626688558114303</v>
      </c>
      <c r="H9" s="170">
        <f t="shared" si="0"/>
        <v>1.8179363016957926</v>
      </c>
      <c r="I9" s="170">
        <f t="shared" si="0"/>
        <v>2.0159375840301856</v>
      </c>
      <c r="J9" s="170">
        <f t="shared" si="0"/>
        <v>1.8139289993067558</v>
      </c>
      <c r="K9" s="173">
        <f t="shared" si="0"/>
        <v>1.9073623427135047</v>
      </c>
      <c r="L9" s="172">
        <f t="shared" si="0"/>
        <v>1.7461689515752297</v>
      </c>
      <c r="M9" s="170">
        <f t="shared" si="1"/>
        <v>1.4764424876509397</v>
      </c>
      <c r="N9" s="170">
        <f t="shared" si="1"/>
        <v>1.602678522259716</v>
      </c>
      <c r="O9" s="170">
        <f t="shared" si="1"/>
        <v>1.5970503427305951</v>
      </c>
      <c r="P9" s="173">
        <f t="shared" si="1"/>
        <v>1.20285007991996</v>
      </c>
      <c r="Q9" s="172">
        <f t="shared" si="1"/>
        <v>4.9777658230559441</v>
      </c>
      <c r="R9" s="170">
        <f t="shared" si="1"/>
        <v>4.4932209840475208</v>
      </c>
      <c r="S9" s="170">
        <f t="shared" si="1"/>
        <v>4.7169300427429137</v>
      </c>
      <c r="T9" s="170">
        <f t="shared" si="1"/>
        <v>4.7027953987009372</v>
      </c>
      <c r="U9" s="174">
        <f t="shared" si="1"/>
        <v>3.988124843809417</v>
      </c>
      <c r="V9" s="175">
        <f t="shared" si="1"/>
        <v>1.3778929979236036</v>
      </c>
      <c r="W9" s="170">
        <f t="shared" si="2"/>
        <v>1.5395514601070375</v>
      </c>
      <c r="X9" s="170">
        <f t="shared" si="2"/>
        <v>1.3540838723324347</v>
      </c>
      <c r="Y9" s="170">
        <f t="shared" si="2"/>
        <v>1.9719207501978719</v>
      </c>
      <c r="Z9" s="170">
        <f t="shared" si="2"/>
        <v>2.3220562793095416</v>
      </c>
      <c r="AA9" s="170">
        <f t="shared" si="2"/>
        <v>3.2794163482316567</v>
      </c>
      <c r="AB9" s="173">
        <f t="shared" si="2"/>
        <v>2.2995852508196322</v>
      </c>
      <c r="AC9" s="170">
        <f>IF(A9="","",COUNTIF('Vika 36'!$B$5:$V$20,A9)+
COUNTIF('Vika 37'!$B$5:$V$20,A9)+
COUNTIF('Vika 38'!$B$5:$V$20,A9)+
COUNTIF('Vika 39'!$B$5:$V$20,A9)+
COUNTIF('Vika 40'!$B$5:$V$20,A9)+
COUNTIF('Vika 41'!$B$5:$V$20,A9)+
COUNTIF('Vika 42'!$B$5:$V$20,A9)+
COUNTIF('Vika 43'!$B$5:$V$20,A9)+
COUNTIF('Vika 44'!$B$5:$V$20,A9)+
COUNTIF('Vika 45'!$B$5:$V$20,A9)+
COUNTIF('Vika 46'!$B$5:$V$20,A9)+
COUNTIF('Vika 47'!$B$5:$V$20,A9)+
COUNTIF('Vika 48'!$B$5:$V$20,A9)+
COUNTIF('Vika x5'!$B$5:$V$20,A9))</f>
        <v>1</v>
      </c>
      <c r="AD9" s="145" t="s">
        <v>63</v>
      </c>
      <c r="AE9" s="146">
        <v>8</v>
      </c>
      <c r="AF9" s="146">
        <v>10</v>
      </c>
    </row>
    <row r="10" spans="1:37" x14ac:dyDescent="0.2">
      <c r="A10" s="155" t="s">
        <v>250</v>
      </c>
      <c r="B10" s="172">
        <v>2</v>
      </c>
      <c r="C10" s="170">
        <f t="shared" si="0"/>
        <v>1.6465522412234006</v>
      </c>
      <c r="D10" s="170">
        <f t="shared" si="0"/>
        <v>1.8070657705985191</v>
      </c>
      <c r="E10" s="170">
        <f t="shared" si="0"/>
        <v>1.7125776219736306</v>
      </c>
      <c r="F10" s="173">
        <f t="shared" si="0"/>
        <v>1.5460797510918218</v>
      </c>
      <c r="G10" s="172">
        <f t="shared" si="0"/>
        <v>2.2626688558114303</v>
      </c>
      <c r="H10" s="170">
        <f t="shared" si="0"/>
        <v>1.8179363016957926</v>
      </c>
      <c r="I10" s="170">
        <f t="shared" si="0"/>
        <v>2.0159375840301856</v>
      </c>
      <c r="J10" s="170">
        <f t="shared" si="0"/>
        <v>1.8139289993067558</v>
      </c>
      <c r="K10" s="173">
        <f t="shared" si="0"/>
        <v>1.9073623427135047</v>
      </c>
      <c r="L10" s="172">
        <f t="shared" si="0"/>
        <v>1.7461689515752297</v>
      </c>
      <c r="M10" s="170">
        <f t="shared" si="1"/>
        <v>1.4764424876509397</v>
      </c>
      <c r="N10" s="170">
        <f t="shared" si="1"/>
        <v>1.602678522259716</v>
      </c>
      <c r="O10" s="170">
        <f t="shared" si="1"/>
        <v>1.5970503427305951</v>
      </c>
      <c r="P10" s="173">
        <f t="shared" si="1"/>
        <v>1.20285007991996</v>
      </c>
      <c r="Q10" s="172">
        <f t="shared" si="1"/>
        <v>4.9777658230559441</v>
      </c>
      <c r="R10" s="170">
        <f t="shared" si="1"/>
        <v>4.4932209840475208</v>
      </c>
      <c r="S10" s="170">
        <f t="shared" si="1"/>
        <v>4.7169300427429137</v>
      </c>
      <c r="T10" s="170">
        <f t="shared" si="1"/>
        <v>4.7027953987009372</v>
      </c>
      <c r="U10" s="174">
        <f t="shared" si="1"/>
        <v>3.988124843809417</v>
      </c>
      <c r="V10" s="175">
        <f t="shared" si="1"/>
        <v>1.3778929979236036</v>
      </c>
      <c r="W10" s="170">
        <f t="shared" si="2"/>
        <v>1.5395514601070375</v>
      </c>
      <c r="X10" s="170">
        <f t="shared" si="2"/>
        <v>1.3540838723324347</v>
      </c>
      <c r="Y10" s="170">
        <f t="shared" si="2"/>
        <v>1.9719207501978719</v>
      </c>
      <c r="Z10" s="170">
        <f t="shared" si="2"/>
        <v>2.3220562793095416</v>
      </c>
      <c r="AA10" s="170">
        <f t="shared" si="2"/>
        <v>3.2794163482316567</v>
      </c>
      <c r="AB10" s="173">
        <f t="shared" si="2"/>
        <v>2.2995852508196322</v>
      </c>
      <c r="AC10" s="170">
        <f>IF(A10="","",COUNTIF('Vika 36'!$B$5:$V$20,A10)+
COUNTIF('Vika 37'!$B$5:$V$20,A10)+
COUNTIF('Vika 38'!$B$5:$V$20,A10)+
COUNTIF('Vika 39'!$B$5:$V$20,A10)+
COUNTIF('Vika 40'!$B$5:$V$20,A10)+
COUNTIF('Vika 41'!$B$5:$V$20,A10)+
COUNTIF('Vika 42'!$B$5:$V$20,A10)+
COUNTIF('Vika 43'!$B$5:$V$20,A10)+
COUNTIF('Vika 44'!$B$5:$V$20,A10)+
COUNTIF('Vika 45'!$B$5:$V$20,A10)+
COUNTIF('Vika 46'!$B$5:$V$20,A10)+
COUNTIF('Vika 47'!$B$5:$V$20,A10)+
COUNTIF('Vika 48'!$B$5:$V$20,A10)+
COUNTIF('Vika x5'!$B$5:$V$20,A10))</f>
        <v>1</v>
      </c>
      <c r="AD10" s="145" t="s">
        <v>64</v>
      </c>
      <c r="AE10" s="146">
        <v>9</v>
      </c>
      <c r="AF10" s="146">
        <v>11</v>
      </c>
    </row>
    <row r="11" spans="1:37" x14ac:dyDescent="0.2">
      <c r="A11" s="155" t="s">
        <v>314</v>
      </c>
      <c r="B11" s="172">
        <v>2</v>
      </c>
      <c r="C11" s="170">
        <f t="shared" si="0"/>
        <v>1.6465522412234006</v>
      </c>
      <c r="D11" s="170">
        <f t="shared" si="0"/>
        <v>1.8070657705985191</v>
      </c>
      <c r="E11" s="170">
        <f t="shared" si="0"/>
        <v>1.7125776219736306</v>
      </c>
      <c r="F11" s="173">
        <f t="shared" si="0"/>
        <v>1.5460797510918218</v>
      </c>
      <c r="G11" s="172">
        <f t="shared" si="0"/>
        <v>2.2626688558114303</v>
      </c>
      <c r="H11" s="170">
        <f t="shared" si="0"/>
        <v>1.8179363016957926</v>
      </c>
      <c r="I11" s="170">
        <f t="shared" si="0"/>
        <v>2.0159375840301856</v>
      </c>
      <c r="J11" s="170">
        <f t="shared" si="0"/>
        <v>1.8139289993067558</v>
      </c>
      <c r="K11" s="173">
        <f t="shared" si="0"/>
        <v>1.9073623427135047</v>
      </c>
      <c r="L11" s="172">
        <f t="shared" si="0"/>
        <v>1.7461689515752297</v>
      </c>
      <c r="M11" s="170">
        <f t="shared" si="1"/>
        <v>1.4764424876509397</v>
      </c>
      <c r="N11" s="170">
        <f t="shared" si="1"/>
        <v>1.602678522259716</v>
      </c>
      <c r="O11" s="170">
        <f t="shared" si="1"/>
        <v>1.5970503427305951</v>
      </c>
      <c r="P11" s="173">
        <f t="shared" si="1"/>
        <v>1.20285007991996</v>
      </c>
      <c r="Q11" s="172">
        <f t="shared" si="1"/>
        <v>4.9777658230559441</v>
      </c>
      <c r="R11" s="170">
        <f t="shared" si="1"/>
        <v>4.4932209840475208</v>
      </c>
      <c r="S11" s="170">
        <f t="shared" si="1"/>
        <v>4.7169300427429137</v>
      </c>
      <c r="T11" s="170">
        <f t="shared" si="1"/>
        <v>4.7027953987009372</v>
      </c>
      <c r="U11" s="174">
        <f t="shared" si="1"/>
        <v>3.988124843809417</v>
      </c>
      <c r="V11" s="175">
        <f t="shared" si="1"/>
        <v>1.3778929979236036</v>
      </c>
      <c r="W11" s="170">
        <f t="shared" si="2"/>
        <v>1.5395514601070375</v>
      </c>
      <c r="X11" s="170">
        <f t="shared" si="2"/>
        <v>1.3540838723324347</v>
      </c>
      <c r="Y11" s="170">
        <f t="shared" si="2"/>
        <v>1.9719207501978719</v>
      </c>
      <c r="Z11" s="170">
        <f t="shared" si="2"/>
        <v>2.3220562793095416</v>
      </c>
      <c r="AA11" s="170">
        <f t="shared" si="2"/>
        <v>3.2794163482316567</v>
      </c>
      <c r="AB11" s="173">
        <f t="shared" si="2"/>
        <v>2.2995852508196322</v>
      </c>
      <c r="AC11" s="170">
        <f>IF(A11="","",COUNTIF('Vika 36'!$B$5:$V$20,A11)+
COUNTIF('Vika 37'!$B$5:$V$20,A11)+
COUNTIF('Vika 38'!$B$5:$V$20,A11)+
COUNTIF('Vika 39'!$B$5:$V$20,A11)+
COUNTIF('Vika 40'!$B$5:$V$20,A11)+
COUNTIF('Vika 41'!$B$5:$V$20,A11)+
COUNTIF('Vika 42'!$B$5:$V$20,A11)+
COUNTIF('Vika 43'!$B$5:$V$20,A11)+
COUNTIF('Vika 44'!$B$5:$V$20,A11)+
COUNTIF('Vika 45'!$B$5:$V$20,A11)+
COUNTIF('Vika 46'!$B$5:$V$20,A11)+
COUNTIF('Vika 47'!$B$5:$V$20,A11)+
COUNTIF('Vika 48'!$B$5:$V$20,A11)+
COUNTIF('Vika x5'!$B$5:$V$20,A11))</f>
        <v>1</v>
      </c>
      <c r="AD11" s="145" t="s">
        <v>65</v>
      </c>
      <c r="AE11" s="146">
        <v>10</v>
      </c>
      <c r="AF11" s="146">
        <v>12</v>
      </c>
    </row>
    <row r="12" spans="1:37" x14ac:dyDescent="0.2">
      <c r="A12" s="155" t="s">
        <v>237</v>
      </c>
      <c r="B12" s="172">
        <v>2</v>
      </c>
      <c r="C12" s="170">
        <f t="shared" si="0"/>
        <v>1.6465522412234006</v>
      </c>
      <c r="D12" s="170">
        <f t="shared" si="0"/>
        <v>1.8070657705985191</v>
      </c>
      <c r="E12" s="170">
        <f t="shared" si="0"/>
        <v>1.7125776219736306</v>
      </c>
      <c r="F12" s="173">
        <f t="shared" si="0"/>
        <v>1.5460797510918218</v>
      </c>
      <c r="G12" s="172">
        <f t="shared" si="0"/>
        <v>2.2626688558114303</v>
      </c>
      <c r="H12" s="170">
        <f t="shared" si="0"/>
        <v>1.8179363016957926</v>
      </c>
      <c r="I12" s="170">
        <f t="shared" si="0"/>
        <v>2.0159375840301856</v>
      </c>
      <c r="J12" s="170">
        <f t="shared" si="0"/>
        <v>1.8139289993067558</v>
      </c>
      <c r="K12" s="173">
        <f t="shared" si="0"/>
        <v>1.9073623427135047</v>
      </c>
      <c r="L12" s="172">
        <f t="shared" si="0"/>
        <v>1.7461689515752297</v>
      </c>
      <c r="M12" s="170">
        <f t="shared" si="1"/>
        <v>1.4764424876509397</v>
      </c>
      <c r="N12" s="170">
        <f t="shared" si="1"/>
        <v>1.602678522259716</v>
      </c>
      <c r="O12" s="170">
        <f t="shared" si="1"/>
        <v>1.5970503427305951</v>
      </c>
      <c r="P12" s="173">
        <f t="shared" si="1"/>
        <v>1.20285007991996</v>
      </c>
      <c r="Q12" s="172">
        <f t="shared" si="1"/>
        <v>4.9777658230559441</v>
      </c>
      <c r="R12" s="170">
        <f t="shared" si="1"/>
        <v>4.4932209840475208</v>
      </c>
      <c r="S12" s="170">
        <f t="shared" si="1"/>
        <v>4.7169300427429137</v>
      </c>
      <c r="T12" s="170">
        <f t="shared" si="1"/>
        <v>4.7027953987009372</v>
      </c>
      <c r="U12" s="174">
        <f t="shared" si="1"/>
        <v>3.988124843809417</v>
      </c>
      <c r="V12" s="175">
        <f t="shared" si="1"/>
        <v>1.3778929979236036</v>
      </c>
      <c r="W12" s="170">
        <f t="shared" si="2"/>
        <v>1.5395514601070375</v>
      </c>
      <c r="X12" s="170">
        <f t="shared" si="2"/>
        <v>1.3540838723324347</v>
      </c>
      <c r="Y12" s="170">
        <f t="shared" si="2"/>
        <v>1.9719207501978719</v>
      </c>
      <c r="Z12" s="170">
        <f t="shared" si="2"/>
        <v>2.3220562793095416</v>
      </c>
      <c r="AA12" s="170">
        <f t="shared" si="2"/>
        <v>3.2794163482316567</v>
      </c>
      <c r="AB12" s="173">
        <f t="shared" si="2"/>
        <v>2.2995852508196322</v>
      </c>
      <c r="AC12" s="170">
        <f>IF(A12="","",COUNTIF('Vika 36'!$B$5:$V$20,A12)+
COUNTIF('Vika 37'!$B$5:$V$20,A12)+
COUNTIF('Vika 38'!$B$5:$V$20,A12)+
COUNTIF('Vika 39'!$B$5:$V$20,A12)+
COUNTIF('Vika 40'!$B$5:$V$20,A12)+
COUNTIF('Vika 41'!$B$5:$V$20,A12)+
COUNTIF('Vika 42'!$B$5:$V$20,A12)+
COUNTIF('Vika 43'!$B$5:$V$20,A12)+
COUNTIF('Vika 44'!$B$5:$V$20,A12)+
COUNTIF('Vika 45'!$B$5:$V$20,A12)+
COUNTIF('Vika 46'!$B$5:$V$20,A12)+
COUNTIF('Vika 47'!$B$5:$V$20,A12)+
COUNTIF('Vika 48'!$B$5:$V$20,A12)+
COUNTIF('Vika x5'!$B$5:$V$20,A12))</f>
        <v>1</v>
      </c>
      <c r="AD12" s="145" t="s">
        <v>66</v>
      </c>
      <c r="AE12" s="146">
        <v>11</v>
      </c>
      <c r="AF12" s="146">
        <v>13</v>
      </c>
    </row>
    <row r="13" spans="1:37" x14ac:dyDescent="0.2">
      <c r="A13" s="155" t="s">
        <v>236</v>
      </c>
      <c r="B13" s="172">
        <v>2</v>
      </c>
      <c r="C13" s="170">
        <f t="shared" ref="C13:L22" si="3">IF(OR($B13="-",$B13=""),"-",$B13*C$203)</f>
        <v>1.6465522412234006</v>
      </c>
      <c r="D13" s="170">
        <f t="shared" si="3"/>
        <v>1.8070657705985191</v>
      </c>
      <c r="E13" s="170">
        <f t="shared" si="3"/>
        <v>1.7125776219736306</v>
      </c>
      <c r="F13" s="173">
        <f t="shared" si="3"/>
        <v>1.5460797510918218</v>
      </c>
      <c r="G13" s="172">
        <f t="shared" si="3"/>
        <v>2.2626688558114303</v>
      </c>
      <c r="H13" s="170">
        <f t="shared" si="3"/>
        <v>1.8179363016957926</v>
      </c>
      <c r="I13" s="170">
        <f t="shared" si="3"/>
        <v>2.0159375840301856</v>
      </c>
      <c r="J13" s="170">
        <f t="shared" si="3"/>
        <v>1.8139289993067558</v>
      </c>
      <c r="K13" s="173">
        <f t="shared" si="3"/>
        <v>1.9073623427135047</v>
      </c>
      <c r="L13" s="172">
        <f t="shared" si="3"/>
        <v>1.7461689515752297</v>
      </c>
      <c r="M13" s="170">
        <f t="shared" ref="M13:V22" si="4">IF(OR($B13="-",$B13=""),"-",$B13*M$203)</f>
        <v>1.4764424876509397</v>
      </c>
      <c r="N13" s="170">
        <f t="shared" si="4"/>
        <v>1.602678522259716</v>
      </c>
      <c r="O13" s="170">
        <f t="shared" si="4"/>
        <v>1.5970503427305951</v>
      </c>
      <c r="P13" s="173">
        <f t="shared" si="4"/>
        <v>1.20285007991996</v>
      </c>
      <c r="Q13" s="172">
        <f t="shared" si="4"/>
        <v>4.9777658230559441</v>
      </c>
      <c r="R13" s="170">
        <f t="shared" si="4"/>
        <v>4.4932209840475208</v>
      </c>
      <c r="S13" s="170">
        <f t="shared" si="4"/>
        <v>4.7169300427429137</v>
      </c>
      <c r="T13" s="170">
        <f t="shared" si="4"/>
        <v>4.7027953987009372</v>
      </c>
      <c r="U13" s="174">
        <f t="shared" si="4"/>
        <v>3.988124843809417</v>
      </c>
      <c r="V13" s="175">
        <f t="shared" si="4"/>
        <v>1.3778929979236036</v>
      </c>
      <c r="W13" s="170">
        <f t="shared" ref="W13:AB22" si="5">IF(OR($B13="-",$B13=""),"-",$B13*W$203)</f>
        <v>1.5395514601070375</v>
      </c>
      <c r="X13" s="170">
        <f t="shared" si="5"/>
        <v>1.3540838723324347</v>
      </c>
      <c r="Y13" s="170">
        <f t="shared" si="5"/>
        <v>1.9719207501978719</v>
      </c>
      <c r="Z13" s="170">
        <f t="shared" si="5"/>
        <v>2.3220562793095416</v>
      </c>
      <c r="AA13" s="170">
        <f t="shared" si="5"/>
        <v>3.2794163482316567</v>
      </c>
      <c r="AB13" s="173">
        <f t="shared" si="5"/>
        <v>2.2995852508196322</v>
      </c>
      <c r="AC13" s="170">
        <f>IF(A13="","",COUNTIF('Vika 36'!$B$5:$V$20,A13)+
COUNTIF('Vika 37'!$B$5:$V$20,A13)+
COUNTIF('Vika 38'!$B$5:$V$20,A13)+
COUNTIF('Vika 39'!$B$5:$V$20,A13)+
COUNTIF('Vika 40'!$B$5:$V$20,A13)+
COUNTIF('Vika 41'!$B$5:$V$20,A13)+
COUNTIF('Vika 42'!$B$5:$V$20,A13)+
COUNTIF('Vika 43'!$B$5:$V$20,A13)+
COUNTIF('Vika 44'!$B$5:$V$20,A13)+
COUNTIF('Vika 45'!$B$5:$V$20,A13)+
COUNTIF('Vika 46'!$B$5:$V$20,A13)+
COUNTIF('Vika 47'!$B$5:$V$20,A13)+
COUNTIF('Vika 48'!$B$5:$V$20,A13)+
COUNTIF('Vika x5'!$B$5:$V$20,A13))</f>
        <v>1</v>
      </c>
      <c r="AD13" s="145" t="s">
        <v>67</v>
      </c>
      <c r="AE13" s="146">
        <v>12</v>
      </c>
      <c r="AF13" s="146">
        <v>14</v>
      </c>
    </row>
    <row r="14" spans="1:37" x14ac:dyDescent="0.2">
      <c r="A14" s="155" t="s">
        <v>287</v>
      </c>
      <c r="B14" s="172">
        <v>2</v>
      </c>
      <c r="C14" s="170">
        <f t="shared" si="3"/>
        <v>1.6465522412234006</v>
      </c>
      <c r="D14" s="170">
        <f t="shared" si="3"/>
        <v>1.8070657705985191</v>
      </c>
      <c r="E14" s="170">
        <f t="shared" si="3"/>
        <v>1.7125776219736306</v>
      </c>
      <c r="F14" s="173">
        <f t="shared" si="3"/>
        <v>1.5460797510918218</v>
      </c>
      <c r="G14" s="172">
        <f t="shared" si="3"/>
        <v>2.2626688558114303</v>
      </c>
      <c r="H14" s="170">
        <f t="shared" si="3"/>
        <v>1.8179363016957926</v>
      </c>
      <c r="I14" s="170">
        <f t="shared" si="3"/>
        <v>2.0159375840301856</v>
      </c>
      <c r="J14" s="170">
        <f t="shared" si="3"/>
        <v>1.8139289993067558</v>
      </c>
      <c r="K14" s="173">
        <f t="shared" si="3"/>
        <v>1.9073623427135047</v>
      </c>
      <c r="L14" s="172">
        <f t="shared" si="3"/>
        <v>1.7461689515752297</v>
      </c>
      <c r="M14" s="170">
        <f t="shared" si="4"/>
        <v>1.4764424876509397</v>
      </c>
      <c r="N14" s="170">
        <f t="shared" si="4"/>
        <v>1.602678522259716</v>
      </c>
      <c r="O14" s="170">
        <f t="shared" si="4"/>
        <v>1.5970503427305951</v>
      </c>
      <c r="P14" s="173">
        <f t="shared" si="4"/>
        <v>1.20285007991996</v>
      </c>
      <c r="Q14" s="172">
        <f t="shared" si="4"/>
        <v>4.9777658230559441</v>
      </c>
      <c r="R14" s="170">
        <f t="shared" si="4"/>
        <v>4.4932209840475208</v>
      </c>
      <c r="S14" s="170">
        <f t="shared" si="4"/>
        <v>4.7169300427429137</v>
      </c>
      <c r="T14" s="170">
        <f t="shared" si="4"/>
        <v>4.7027953987009372</v>
      </c>
      <c r="U14" s="174">
        <f t="shared" si="4"/>
        <v>3.988124843809417</v>
      </c>
      <c r="V14" s="175">
        <f t="shared" si="4"/>
        <v>1.3778929979236036</v>
      </c>
      <c r="W14" s="170">
        <f t="shared" si="5"/>
        <v>1.5395514601070375</v>
      </c>
      <c r="X14" s="170">
        <f t="shared" si="5"/>
        <v>1.3540838723324347</v>
      </c>
      <c r="Y14" s="170">
        <f t="shared" si="5"/>
        <v>1.9719207501978719</v>
      </c>
      <c r="Z14" s="170">
        <f t="shared" si="5"/>
        <v>2.3220562793095416</v>
      </c>
      <c r="AA14" s="170">
        <f t="shared" si="5"/>
        <v>3.2794163482316567</v>
      </c>
      <c r="AB14" s="173">
        <f t="shared" si="5"/>
        <v>2.2995852508196322</v>
      </c>
      <c r="AC14" s="170">
        <f>IF(A14="","",COUNTIF('Vika 36'!$B$5:$V$20,A14)+
COUNTIF('Vika 37'!$B$5:$V$20,A14)+
COUNTIF('Vika 38'!$B$5:$V$20,A14)+
COUNTIF('Vika 39'!$B$5:$V$20,A14)+
COUNTIF('Vika 40'!$B$5:$V$20,A14)+
COUNTIF('Vika 41'!$B$5:$V$20,A14)+
COUNTIF('Vika 42'!$B$5:$V$20,A14)+
COUNTIF('Vika 43'!$B$5:$V$20,A14)+
COUNTIF('Vika 44'!$B$5:$V$20,A14)+
COUNTIF('Vika 45'!$B$5:$V$20,A14)+
COUNTIF('Vika 46'!$B$5:$V$20,A14)+
COUNTIF('Vika 47'!$B$5:$V$20,A14)+
COUNTIF('Vika 48'!$B$5:$V$20,A14)+
COUNTIF('Vika x5'!$B$5:$V$20,A14))</f>
        <v>1</v>
      </c>
      <c r="AD14" s="145" t="s">
        <v>68</v>
      </c>
      <c r="AE14" s="146">
        <v>13</v>
      </c>
      <c r="AF14" s="146">
        <v>15</v>
      </c>
    </row>
    <row r="15" spans="1:37" x14ac:dyDescent="0.2">
      <c r="A15" s="155" t="s">
        <v>239</v>
      </c>
      <c r="B15" s="172">
        <v>2</v>
      </c>
      <c r="C15" s="170">
        <f t="shared" si="3"/>
        <v>1.6465522412234006</v>
      </c>
      <c r="D15" s="170">
        <f t="shared" si="3"/>
        <v>1.8070657705985191</v>
      </c>
      <c r="E15" s="170">
        <f t="shared" si="3"/>
        <v>1.7125776219736306</v>
      </c>
      <c r="F15" s="173">
        <f t="shared" si="3"/>
        <v>1.5460797510918218</v>
      </c>
      <c r="G15" s="172">
        <f t="shared" si="3"/>
        <v>2.2626688558114303</v>
      </c>
      <c r="H15" s="170">
        <f t="shared" si="3"/>
        <v>1.8179363016957926</v>
      </c>
      <c r="I15" s="170">
        <f t="shared" si="3"/>
        <v>2.0159375840301856</v>
      </c>
      <c r="J15" s="170">
        <f t="shared" si="3"/>
        <v>1.8139289993067558</v>
      </c>
      <c r="K15" s="173">
        <f t="shared" si="3"/>
        <v>1.9073623427135047</v>
      </c>
      <c r="L15" s="172">
        <f t="shared" si="3"/>
        <v>1.7461689515752297</v>
      </c>
      <c r="M15" s="170">
        <f t="shared" si="4"/>
        <v>1.4764424876509397</v>
      </c>
      <c r="N15" s="170">
        <f t="shared" si="4"/>
        <v>1.602678522259716</v>
      </c>
      <c r="O15" s="170">
        <f t="shared" si="4"/>
        <v>1.5970503427305951</v>
      </c>
      <c r="P15" s="173">
        <f t="shared" si="4"/>
        <v>1.20285007991996</v>
      </c>
      <c r="Q15" s="172">
        <f t="shared" si="4"/>
        <v>4.9777658230559441</v>
      </c>
      <c r="R15" s="170">
        <f t="shared" si="4"/>
        <v>4.4932209840475208</v>
      </c>
      <c r="S15" s="170">
        <f t="shared" si="4"/>
        <v>4.7169300427429137</v>
      </c>
      <c r="T15" s="170">
        <f t="shared" si="4"/>
        <v>4.7027953987009372</v>
      </c>
      <c r="U15" s="174">
        <f t="shared" si="4"/>
        <v>3.988124843809417</v>
      </c>
      <c r="V15" s="175">
        <f t="shared" si="4"/>
        <v>1.3778929979236036</v>
      </c>
      <c r="W15" s="170">
        <f t="shared" si="5"/>
        <v>1.5395514601070375</v>
      </c>
      <c r="X15" s="170">
        <f t="shared" si="5"/>
        <v>1.3540838723324347</v>
      </c>
      <c r="Y15" s="170">
        <f t="shared" si="5"/>
        <v>1.9719207501978719</v>
      </c>
      <c r="Z15" s="170">
        <f t="shared" si="5"/>
        <v>2.3220562793095416</v>
      </c>
      <c r="AA15" s="170">
        <f t="shared" si="5"/>
        <v>3.2794163482316567</v>
      </c>
      <c r="AB15" s="173">
        <f t="shared" si="5"/>
        <v>2.2995852508196322</v>
      </c>
      <c r="AC15" s="170">
        <f>IF(A15="","",COUNTIF('Vika 36'!$B$5:$V$20,A15)+
COUNTIF('Vika 37'!$B$5:$V$20,A15)+
COUNTIF('Vika 38'!$B$5:$V$20,A15)+
COUNTIF('Vika 39'!$B$5:$V$20,A15)+
COUNTIF('Vika 40'!$B$5:$V$20,A15)+
COUNTIF('Vika 41'!$B$5:$V$20,A15)+
COUNTIF('Vika 42'!$B$5:$V$20,A15)+
COUNTIF('Vika 43'!$B$5:$V$20,A15)+
COUNTIF('Vika 44'!$B$5:$V$20,A15)+
COUNTIF('Vika 45'!$B$5:$V$20,A15)+
COUNTIF('Vika 46'!$B$5:$V$20,A15)+
COUNTIF('Vika 47'!$B$5:$V$20,A15)+
COUNTIF('Vika 48'!$B$5:$V$20,A15)+
COUNTIF('Vika x5'!$B$5:$V$20,A15))</f>
        <v>1</v>
      </c>
      <c r="AD15" s="145" t="s">
        <v>69</v>
      </c>
      <c r="AE15" s="146">
        <v>14</v>
      </c>
      <c r="AF15" s="146">
        <v>16</v>
      </c>
    </row>
    <row r="16" spans="1:37" x14ac:dyDescent="0.2">
      <c r="A16" s="155" t="s">
        <v>306</v>
      </c>
      <c r="B16" s="172">
        <v>2</v>
      </c>
      <c r="C16" s="170">
        <f t="shared" si="3"/>
        <v>1.6465522412234006</v>
      </c>
      <c r="D16" s="170">
        <f t="shared" si="3"/>
        <v>1.8070657705985191</v>
      </c>
      <c r="E16" s="170">
        <f t="shared" si="3"/>
        <v>1.7125776219736306</v>
      </c>
      <c r="F16" s="173">
        <f t="shared" si="3"/>
        <v>1.5460797510918218</v>
      </c>
      <c r="G16" s="172">
        <f t="shared" si="3"/>
        <v>2.2626688558114303</v>
      </c>
      <c r="H16" s="170">
        <f t="shared" si="3"/>
        <v>1.8179363016957926</v>
      </c>
      <c r="I16" s="170">
        <f t="shared" si="3"/>
        <v>2.0159375840301856</v>
      </c>
      <c r="J16" s="170">
        <f t="shared" si="3"/>
        <v>1.8139289993067558</v>
      </c>
      <c r="K16" s="173">
        <f t="shared" si="3"/>
        <v>1.9073623427135047</v>
      </c>
      <c r="L16" s="172">
        <f t="shared" si="3"/>
        <v>1.7461689515752297</v>
      </c>
      <c r="M16" s="170">
        <f t="shared" si="4"/>
        <v>1.4764424876509397</v>
      </c>
      <c r="N16" s="170">
        <f t="shared" si="4"/>
        <v>1.602678522259716</v>
      </c>
      <c r="O16" s="170">
        <f t="shared" si="4"/>
        <v>1.5970503427305951</v>
      </c>
      <c r="P16" s="173">
        <f t="shared" si="4"/>
        <v>1.20285007991996</v>
      </c>
      <c r="Q16" s="172">
        <f t="shared" si="4"/>
        <v>4.9777658230559441</v>
      </c>
      <c r="R16" s="170">
        <f t="shared" si="4"/>
        <v>4.4932209840475208</v>
      </c>
      <c r="S16" s="170">
        <f t="shared" si="4"/>
        <v>4.7169300427429137</v>
      </c>
      <c r="T16" s="170">
        <f t="shared" si="4"/>
        <v>4.7027953987009372</v>
      </c>
      <c r="U16" s="174">
        <f t="shared" si="4"/>
        <v>3.988124843809417</v>
      </c>
      <c r="V16" s="175">
        <f t="shared" si="4"/>
        <v>1.3778929979236036</v>
      </c>
      <c r="W16" s="170">
        <f t="shared" si="5"/>
        <v>1.5395514601070375</v>
      </c>
      <c r="X16" s="170">
        <f t="shared" si="5"/>
        <v>1.3540838723324347</v>
      </c>
      <c r="Y16" s="170">
        <f t="shared" si="5"/>
        <v>1.9719207501978719</v>
      </c>
      <c r="Z16" s="170">
        <f t="shared" si="5"/>
        <v>2.3220562793095416</v>
      </c>
      <c r="AA16" s="170">
        <f t="shared" si="5"/>
        <v>3.2794163482316567</v>
      </c>
      <c r="AB16" s="173">
        <f t="shared" si="5"/>
        <v>2.2995852508196322</v>
      </c>
      <c r="AC16" s="170">
        <f>IF(A16="","",COUNTIF('Vika 36'!$B$5:$V$20,A16)+
COUNTIF('Vika 37'!$B$5:$V$20,A16)+
COUNTIF('Vika 38'!$B$5:$V$20,A16)+
COUNTIF('Vika 39'!$B$5:$V$20,A16)+
COUNTIF('Vika 40'!$B$5:$V$20,A16)+
COUNTIF('Vika 41'!$B$5:$V$20,A16)+
COUNTIF('Vika 42'!$B$5:$V$20,A16)+
COUNTIF('Vika 43'!$B$5:$V$20,A16)+
COUNTIF('Vika 44'!$B$5:$V$20,A16)+
COUNTIF('Vika 45'!$B$5:$V$20,A16)+
COUNTIF('Vika 46'!$B$5:$V$20,A16)+
COUNTIF('Vika 47'!$B$5:$V$20,A16)+
COUNTIF('Vika 48'!$B$5:$V$20,A16)+
COUNTIF('Vika x5'!$B$5:$V$20,A16))</f>
        <v>1</v>
      </c>
      <c r="AD16" s="145" t="s">
        <v>70</v>
      </c>
      <c r="AE16" s="146">
        <v>15</v>
      </c>
      <c r="AF16" s="146">
        <v>17</v>
      </c>
    </row>
    <row r="17" spans="1:32" x14ac:dyDescent="0.2">
      <c r="A17" s="155" t="s">
        <v>310</v>
      </c>
      <c r="B17" s="172">
        <v>2</v>
      </c>
      <c r="C17" s="170">
        <f t="shared" si="3"/>
        <v>1.6465522412234006</v>
      </c>
      <c r="D17" s="170">
        <f t="shared" si="3"/>
        <v>1.8070657705985191</v>
      </c>
      <c r="E17" s="170">
        <f t="shared" si="3"/>
        <v>1.7125776219736306</v>
      </c>
      <c r="F17" s="173">
        <f t="shared" si="3"/>
        <v>1.5460797510918218</v>
      </c>
      <c r="G17" s="172">
        <f t="shared" si="3"/>
        <v>2.2626688558114303</v>
      </c>
      <c r="H17" s="170">
        <f t="shared" si="3"/>
        <v>1.8179363016957926</v>
      </c>
      <c r="I17" s="170">
        <f t="shared" si="3"/>
        <v>2.0159375840301856</v>
      </c>
      <c r="J17" s="170">
        <f t="shared" si="3"/>
        <v>1.8139289993067558</v>
      </c>
      <c r="K17" s="173">
        <f t="shared" si="3"/>
        <v>1.9073623427135047</v>
      </c>
      <c r="L17" s="172">
        <f t="shared" si="3"/>
        <v>1.7461689515752297</v>
      </c>
      <c r="M17" s="170">
        <f t="shared" si="4"/>
        <v>1.4764424876509397</v>
      </c>
      <c r="N17" s="170">
        <f t="shared" si="4"/>
        <v>1.602678522259716</v>
      </c>
      <c r="O17" s="170">
        <f t="shared" si="4"/>
        <v>1.5970503427305951</v>
      </c>
      <c r="P17" s="173">
        <f t="shared" si="4"/>
        <v>1.20285007991996</v>
      </c>
      <c r="Q17" s="172">
        <f t="shared" si="4"/>
        <v>4.9777658230559441</v>
      </c>
      <c r="R17" s="170">
        <f t="shared" si="4"/>
        <v>4.4932209840475208</v>
      </c>
      <c r="S17" s="170">
        <f t="shared" si="4"/>
        <v>4.7169300427429137</v>
      </c>
      <c r="T17" s="170">
        <f t="shared" si="4"/>
        <v>4.7027953987009372</v>
      </c>
      <c r="U17" s="174">
        <f t="shared" si="4"/>
        <v>3.988124843809417</v>
      </c>
      <c r="V17" s="175">
        <f t="shared" si="4"/>
        <v>1.3778929979236036</v>
      </c>
      <c r="W17" s="170">
        <f t="shared" si="5"/>
        <v>1.5395514601070375</v>
      </c>
      <c r="X17" s="170">
        <f t="shared" si="5"/>
        <v>1.3540838723324347</v>
      </c>
      <c r="Y17" s="170">
        <f t="shared" si="5"/>
        <v>1.9719207501978719</v>
      </c>
      <c r="Z17" s="170">
        <f t="shared" si="5"/>
        <v>2.3220562793095416</v>
      </c>
      <c r="AA17" s="170">
        <f t="shared" si="5"/>
        <v>3.2794163482316567</v>
      </c>
      <c r="AB17" s="173">
        <f t="shared" si="5"/>
        <v>2.2995852508196322</v>
      </c>
      <c r="AC17" s="170">
        <f>IF(A17="","",COUNTIF('Vika 36'!$B$5:$V$20,A17)+
COUNTIF('Vika 37'!$B$5:$V$20,A17)+
COUNTIF('Vika 38'!$B$5:$V$20,A17)+
COUNTIF('Vika 39'!$B$5:$V$20,A17)+
COUNTIF('Vika 40'!$B$5:$V$20,A17)+
COUNTIF('Vika 41'!$B$5:$V$20,A17)+
COUNTIF('Vika 42'!$B$5:$V$20,A17)+
COUNTIF('Vika 43'!$B$5:$V$20,A17)+
COUNTIF('Vika 44'!$B$5:$V$20,A17)+
COUNTIF('Vika 45'!$B$5:$V$20,A17)+
COUNTIF('Vika 46'!$B$5:$V$20,A17)+
COUNTIF('Vika 47'!$B$5:$V$20,A17)+
COUNTIF('Vika 48'!$B$5:$V$20,A17)+
COUNTIF('Vika x5'!$B$5:$V$20,A17))</f>
        <v>1</v>
      </c>
      <c r="AD17" s="145" t="s">
        <v>71</v>
      </c>
      <c r="AE17" s="146">
        <v>16</v>
      </c>
      <c r="AF17" s="146">
        <v>18</v>
      </c>
    </row>
    <row r="18" spans="1:32" x14ac:dyDescent="0.2">
      <c r="A18" s="155" t="s">
        <v>319</v>
      </c>
      <c r="B18" s="172">
        <v>2</v>
      </c>
      <c r="C18" s="170">
        <f t="shared" si="3"/>
        <v>1.6465522412234006</v>
      </c>
      <c r="D18" s="170">
        <f t="shared" si="3"/>
        <v>1.8070657705985191</v>
      </c>
      <c r="E18" s="170">
        <f t="shared" si="3"/>
        <v>1.7125776219736306</v>
      </c>
      <c r="F18" s="173">
        <f t="shared" si="3"/>
        <v>1.5460797510918218</v>
      </c>
      <c r="G18" s="172">
        <f t="shared" si="3"/>
        <v>2.2626688558114303</v>
      </c>
      <c r="H18" s="170">
        <f t="shared" si="3"/>
        <v>1.8179363016957926</v>
      </c>
      <c r="I18" s="170">
        <f t="shared" si="3"/>
        <v>2.0159375840301856</v>
      </c>
      <c r="J18" s="170">
        <f t="shared" si="3"/>
        <v>1.8139289993067558</v>
      </c>
      <c r="K18" s="173">
        <f t="shared" si="3"/>
        <v>1.9073623427135047</v>
      </c>
      <c r="L18" s="172">
        <f t="shared" si="3"/>
        <v>1.7461689515752297</v>
      </c>
      <c r="M18" s="170">
        <f t="shared" si="4"/>
        <v>1.4764424876509397</v>
      </c>
      <c r="N18" s="170">
        <f t="shared" si="4"/>
        <v>1.602678522259716</v>
      </c>
      <c r="O18" s="170">
        <f t="shared" si="4"/>
        <v>1.5970503427305951</v>
      </c>
      <c r="P18" s="173">
        <f t="shared" si="4"/>
        <v>1.20285007991996</v>
      </c>
      <c r="Q18" s="172">
        <f t="shared" si="4"/>
        <v>4.9777658230559441</v>
      </c>
      <c r="R18" s="170">
        <f t="shared" si="4"/>
        <v>4.4932209840475208</v>
      </c>
      <c r="S18" s="170">
        <f t="shared" si="4"/>
        <v>4.7169300427429137</v>
      </c>
      <c r="T18" s="170">
        <f t="shared" si="4"/>
        <v>4.7027953987009372</v>
      </c>
      <c r="U18" s="174">
        <f t="shared" si="4"/>
        <v>3.988124843809417</v>
      </c>
      <c r="V18" s="175">
        <f t="shared" si="4"/>
        <v>1.3778929979236036</v>
      </c>
      <c r="W18" s="170">
        <f t="shared" si="5"/>
        <v>1.5395514601070375</v>
      </c>
      <c r="X18" s="170">
        <f t="shared" si="5"/>
        <v>1.3540838723324347</v>
      </c>
      <c r="Y18" s="170">
        <f t="shared" si="5"/>
        <v>1.9719207501978719</v>
      </c>
      <c r="Z18" s="170">
        <f t="shared" si="5"/>
        <v>2.3220562793095416</v>
      </c>
      <c r="AA18" s="170">
        <f t="shared" si="5"/>
        <v>3.2794163482316567</v>
      </c>
      <c r="AB18" s="173">
        <f t="shared" si="5"/>
        <v>2.2995852508196322</v>
      </c>
      <c r="AC18" s="170">
        <f>IF(A18="","",COUNTIF('Vika 36'!$B$5:$V$20,A18)+
COUNTIF('Vika 37'!$B$5:$V$20,A18)+
COUNTIF('Vika 38'!$B$5:$V$20,A18)+
COUNTIF('Vika 39'!$B$5:$V$20,A18)+
COUNTIF('Vika 40'!$B$5:$V$20,A18)+
COUNTIF('Vika 41'!$B$5:$V$20,A18)+
COUNTIF('Vika 42'!$B$5:$V$20,A18)+
COUNTIF('Vika 43'!$B$5:$V$20,A18)+
COUNTIF('Vika 44'!$B$5:$V$20,A18)+
COUNTIF('Vika 45'!$B$5:$V$20,A18)+
COUNTIF('Vika 46'!$B$5:$V$20,A18)+
COUNTIF('Vika 47'!$B$5:$V$20,A18)+
COUNTIF('Vika 48'!$B$5:$V$20,A18)+
COUNTIF('Vika x5'!$B$5:$V$20,A18))</f>
        <v>1</v>
      </c>
      <c r="AD18" s="145" t="s">
        <v>72</v>
      </c>
      <c r="AE18" s="146">
        <v>17</v>
      </c>
      <c r="AF18" s="146">
        <v>19</v>
      </c>
    </row>
    <row r="19" spans="1:32" x14ac:dyDescent="0.2">
      <c r="A19" s="155" t="s">
        <v>228</v>
      </c>
      <c r="B19" s="172">
        <v>2</v>
      </c>
      <c r="C19" s="170">
        <f t="shared" si="3"/>
        <v>1.6465522412234006</v>
      </c>
      <c r="D19" s="170">
        <f t="shared" si="3"/>
        <v>1.8070657705985191</v>
      </c>
      <c r="E19" s="170">
        <f t="shared" si="3"/>
        <v>1.7125776219736306</v>
      </c>
      <c r="F19" s="173">
        <f t="shared" si="3"/>
        <v>1.5460797510918218</v>
      </c>
      <c r="G19" s="172">
        <f t="shared" si="3"/>
        <v>2.2626688558114303</v>
      </c>
      <c r="H19" s="170">
        <f t="shared" si="3"/>
        <v>1.8179363016957926</v>
      </c>
      <c r="I19" s="170">
        <f t="shared" si="3"/>
        <v>2.0159375840301856</v>
      </c>
      <c r="J19" s="170">
        <f t="shared" si="3"/>
        <v>1.8139289993067558</v>
      </c>
      <c r="K19" s="173">
        <f t="shared" si="3"/>
        <v>1.9073623427135047</v>
      </c>
      <c r="L19" s="172">
        <f t="shared" si="3"/>
        <v>1.7461689515752297</v>
      </c>
      <c r="M19" s="170">
        <f t="shared" si="4"/>
        <v>1.4764424876509397</v>
      </c>
      <c r="N19" s="170">
        <f t="shared" si="4"/>
        <v>1.602678522259716</v>
      </c>
      <c r="O19" s="170">
        <f t="shared" si="4"/>
        <v>1.5970503427305951</v>
      </c>
      <c r="P19" s="173">
        <f t="shared" si="4"/>
        <v>1.20285007991996</v>
      </c>
      <c r="Q19" s="172">
        <f t="shared" si="4"/>
        <v>4.9777658230559441</v>
      </c>
      <c r="R19" s="170">
        <f t="shared" si="4"/>
        <v>4.4932209840475208</v>
      </c>
      <c r="S19" s="170">
        <f t="shared" si="4"/>
        <v>4.7169300427429137</v>
      </c>
      <c r="T19" s="170">
        <f t="shared" si="4"/>
        <v>4.7027953987009372</v>
      </c>
      <c r="U19" s="174">
        <f t="shared" si="4"/>
        <v>3.988124843809417</v>
      </c>
      <c r="V19" s="175">
        <f t="shared" si="4"/>
        <v>1.3778929979236036</v>
      </c>
      <c r="W19" s="170">
        <f t="shared" si="5"/>
        <v>1.5395514601070375</v>
      </c>
      <c r="X19" s="170">
        <f t="shared" si="5"/>
        <v>1.3540838723324347</v>
      </c>
      <c r="Y19" s="170">
        <f t="shared" si="5"/>
        <v>1.9719207501978719</v>
      </c>
      <c r="Z19" s="170">
        <f t="shared" si="5"/>
        <v>2.3220562793095416</v>
      </c>
      <c r="AA19" s="170">
        <f t="shared" si="5"/>
        <v>3.2794163482316567</v>
      </c>
      <c r="AB19" s="173">
        <f t="shared" si="5"/>
        <v>2.2995852508196322</v>
      </c>
      <c r="AC19" s="170">
        <f>IF(A19="","",COUNTIF('Vika 36'!$B$5:$V$20,A19)+
COUNTIF('Vika 37'!$B$5:$V$20,A19)+
COUNTIF('Vika 38'!$B$5:$V$20,A19)+
COUNTIF('Vika 39'!$B$5:$V$20,A19)+
COUNTIF('Vika 40'!$B$5:$V$20,A19)+
COUNTIF('Vika 41'!$B$5:$V$20,A19)+
COUNTIF('Vika 42'!$B$5:$V$20,A19)+
COUNTIF('Vika 43'!$B$5:$V$20,A19)+
COUNTIF('Vika 44'!$B$5:$V$20,A19)+
COUNTIF('Vika 45'!$B$5:$V$20,A19)+
COUNTIF('Vika 46'!$B$5:$V$20,A19)+
COUNTIF('Vika 47'!$B$5:$V$20,A19)+
COUNTIF('Vika 48'!$B$5:$V$20,A19)+
COUNTIF('Vika x5'!$B$5:$V$20,A19))</f>
        <v>2</v>
      </c>
      <c r="AD19" s="145" t="s">
        <v>73</v>
      </c>
      <c r="AE19" s="146">
        <v>18</v>
      </c>
      <c r="AF19" s="146">
        <v>20</v>
      </c>
    </row>
    <row r="20" spans="1:32" x14ac:dyDescent="0.2">
      <c r="A20" s="155" t="s">
        <v>252</v>
      </c>
      <c r="B20" s="172">
        <v>2</v>
      </c>
      <c r="C20" s="170">
        <f t="shared" si="3"/>
        <v>1.6465522412234006</v>
      </c>
      <c r="D20" s="170">
        <f t="shared" si="3"/>
        <v>1.8070657705985191</v>
      </c>
      <c r="E20" s="170">
        <f t="shared" si="3"/>
        <v>1.7125776219736306</v>
      </c>
      <c r="F20" s="173">
        <f t="shared" si="3"/>
        <v>1.5460797510918218</v>
      </c>
      <c r="G20" s="172">
        <f t="shared" si="3"/>
        <v>2.2626688558114303</v>
      </c>
      <c r="H20" s="170">
        <f t="shared" si="3"/>
        <v>1.8179363016957926</v>
      </c>
      <c r="I20" s="170">
        <f t="shared" si="3"/>
        <v>2.0159375840301856</v>
      </c>
      <c r="J20" s="170">
        <f t="shared" si="3"/>
        <v>1.8139289993067558</v>
      </c>
      <c r="K20" s="173">
        <f t="shared" si="3"/>
        <v>1.9073623427135047</v>
      </c>
      <c r="L20" s="172">
        <f t="shared" si="3"/>
        <v>1.7461689515752297</v>
      </c>
      <c r="M20" s="170">
        <f t="shared" si="4"/>
        <v>1.4764424876509397</v>
      </c>
      <c r="N20" s="170">
        <f t="shared" si="4"/>
        <v>1.602678522259716</v>
      </c>
      <c r="O20" s="170">
        <f t="shared" si="4"/>
        <v>1.5970503427305951</v>
      </c>
      <c r="P20" s="173">
        <f t="shared" si="4"/>
        <v>1.20285007991996</v>
      </c>
      <c r="Q20" s="172">
        <f t="shared" si="4"/>
        <v>4.9777658230559441</v>
      </c>
      <c r="R20" s="170">
        <f t="shared" si="4"/>
        <v>4.4932209840475208</v>
      </c>
      <c r="S20" s="170">
        <f t="shared" si="4"/>
        <v>4.7169300427429137</v>
      </c>
      <c r="T20" s="170">
        <f t="shared" si="4"/>
        <v>4.7027953987009372</v>
      </c>
      <c r="U20" s="174">
        <f t="shared" si="4"/>
        <v>3.988124843809417</v>
      </c>
      <c r="V20" s="175">
        <f t="shared" si="4"/>
        <v>1.3778929979236036</v>
      </c>
      <c r="W20" s="170">
        <f t="shared" si="5"/>
        <v>1.5395514601070375</v>
      </c>
      <c r="X20" s="170">
        <f t="shared" si="5"/>
        <v>1.3540838723324347</v>
      </c>
      <c r="Y20" s="170">
        <f t="shared" si="5"/>
        <v>1.9719207501978719</v>
      </c>
      <c r="Z20" s="170">
        <f t="shared" si="5"/>
        <v>2.3220562793095416</v>
      </c>
      <c r="AA20" s="170">
        <f t="shared" si="5"/>
        <v>3.2794163482316567</v>
      </c>
      <c r="AB20" s="173">
        <f t="shared" si="5"/>
        <v>2.2995852508196322</v>
      </c>
      <c r="AC20" s="170">
        <f>IF(A20="","",COUNTIF('Vika 36'!$B$5:$V$20,A20)+
COUNTIF('Vika 37'!$B$5:$V$20,A20)+
COUNTIF('Vika 38'!$B$5:$V$20,A20)+
COUNTIF('Vika 39'!$B$5:$V$20,A20)+
COUNTIF('Vika 40'!$B$5:$V$20,A20)+
COUNTIF('Vika 41'!$B$5:$V$20,A20)+
COUNTIF('Vika 42'!$B$5:$V$20,A20)+
COUNTIF('Vika 43'!$B$5:$V$20,A20)+
COUNTIF('Vika 44'!$B$5:$V$20,A20)+
COUNTIF('Vika 45'!$B$5:$V$20,A20)+
COUNTIF('Vika 46'!$B$5:$V$20,A20)+
COUNTIF('Vika 47'!$B$5:$V$20,A20)+
COUNTIF('Vika 48'!$B$5:$V$20,A20)+
COUNTIF('Vika x5'!$B$5:$V$20,A20))</f>
        <v>1</v>
      </c>
      <c r="AD20" s="145" t="s">
        <v>74</v>
      </c>
      <c r="AE20" s="146">
        <v>19</v>
      </c>
      <c r="AF20" s="146">
        <v>21</v>
      </c>
    </row>
    <row r="21" spans="1:32" x14ac:dyDescent="0.2">
      <c r="A21" s="155" t="s">
        <v>251</v>
      </c>
      <c r="B21" s="172">
        <v>2</v>
      </c>
      <c r="C21" s="170">
        <f t="shared" si="3"/>
        <v>1.6465522412234006</v>
      </c>
      <c r="D21" s="170">
        <f t="shared" si="3"/>
        <v>1.8070657705985191</v>
      </c>
      <c r="E21" s="170">
        <f t="shared" si="3"/>
        <v>1.7125776219736306</v>
      </c>
      <c r="F21" s="173">
        <f t="shared" si="3"/>
        <v>1.5460797510918218</v>
      </c>
      <c r="G21" s="172">
        <f t="shared" si="3"/>
        <v>2.2626688558114303</v>
      </c>
      <c r="H21" s="170">
        <f t="shared" si="3"/>
        <v>1.8179363016957926</v>
      </c>
      <c r="I21" s="170">
        <f t="shared" si="3"/>
        <v>2.0159375840301856</v>
      </c>
      <c r="J21" s="170">
        <f t="shared" si="3"/>
        <v>1.8139289993067558</v>
      </c>
      <c r="K21" s="173">
        <f t="shared" si="3"/>
        <v>1.9073623427135047</v>
      </c>
      <c r="L21" s="172">
        <f t="shared" si="3"/>
        <v>1.7461689515752297</v>
      </c>
      <c r="M21" s="170">
        <f t="shared" si="4"/>
        <v>1.4764424876509397</v>
      </c>
      <c r="N21" s="170">
        <f t="shared" si="4"/>
        <v>1.602678522259716</v>
      </c>
      <c r="O21" s="170">
        <f t="shared" si="4"/>
        <v>1.5970503427305951</v>
      </c>
      <c r="P21" s="173">
        <f t="shared" si="4"/>
        <v>1.20285007991996</v>
      </c>
      <c r="Q21" s="172">
        <f t="shared" si="4"/>
        <v>4.9777658230559441</v>
      </c>
      <c r="R21" s="170">
        <f t="shared" si="4"/>
        <v>4.4932209840475208</v>
      </c>
      <c r="S21" s="170">
        <f t="shared" si="4"/>
        <v>4.7169300427429137</v>
      </c>
      <c r="T21" s="170">
        <f t="shared" si="4"/>
        <v>4.7027953987009372</v>
      </c>
      <c r="U21" s="174">
        <f t="shared" si="4"/>
        <v>3.988124843809417</v>
      </c>
      <c r="V21" s="175">
        <f t="shared" si="4"/>
        <v>1.3778929979236036</v>
      </c>
      <c r="W21" s="170">
        <f t="shared" si="5"/>
        <v>1.5395514601070375</v>
      </c>
      <c r="X21" s="170">
        <f t="shared" si="5"/>
        <v>1.3540838723324347</v>
      </c>
      <c r="Y21" s="170">
        <f t="shared" si="5"/>
        <v>1.9719207501978719</v>
      </c>
      <c r="Z21" s="170">
        <f t="shared" si="5"/>
        <v>2.3220562793095416</v>
      </c>
      <c r="AA21" s="170">
        <f t="shared" si="5"/>
        <v>3.2794163482316567</v>
      </c>
      <c r="AB21" s="173">
        <f t="shared" si="5"/>
        <v>2.2995852508196322</v>
      </c>
      <c r="AC21" s="170">
        <f>IF(A21="","",COUNTIF('Vika 36'!$B$5:$V$20,A21)+
COUNTIF('Vika 37'!$B$5:$V$20,A21)+
COUNTIF('Vika 38'!$B$5:$V$20,A21)+
COUNTIF('Vika 39'!$B$5:$V$20,A21)+
COUNTIF('Vika 40'!$B$5:$V$20,A21)+
COUNTIF('Vika 41'!$B$5:$V$20,A21)+
COUNTIF('Vika 42'!$B$5:$V$20,A21)+
COUNTIF('Vika 43'!$B$5:$V$20,A21)+
COUNTIF('Vika 44'!$B$5:$V$20,A21)+
COUNTIF('Vika 45'!$B$5:$V$20,A21)+
COUNTIF('Vika 46'!$B$5:$V$20,A21)+
COUNTIF('Vika 47'!$B$5:$V$20,A21)+
COUNTIF('Vika 48'!$B$5:$V$20,A21)+
COUNTIF('Vika x5'!$B$5:$V$20,A21))</f>
        <v>1</v>
      </c>
      <c r="AD21" s="145" t="s">
        <v>75</v>
      </c>
      <c r="AE21" s="146">
        <v>20</v>
      </c>
      <c r="AF21" s="146">
        <v>22</v>
      </c>
    </row>
    <row r="22" spans="1:32" x14ac:dyDescent="0.2">
      <c r="A22" s="155" t="s">
        <v>245</v>
      </c>
      <c r="B22" s="172">
        <v>2</v>
      </c>
      <c r="C22" s="170">
        <f t="shared" si="3"/>
        <v>1.6465522412234006</v>
      </c>
      <c r="D22" s="170">
        <f t="shared" si="3"/>
        <v>1.8070657705985191</v>
      </c>
      <c r="E22" s="170">
        <f t="shared" si="3"/>
        <v>1.7125776219736306</v>
      </c>
      <c r="F22" s="173">
        <f t="shared" si="3"/>
        <v>1.5460797510918218</v>
      </c>
      <c r="G22" s="172">
        <f t="shared" si="3"/>
        <v>2.2626688558114303</v>
      </c>
      <c r="H22" s="170">
        <f t="shared" si="3"/>
        <v>1.8179363016957926</v>
      </c>
      <c r="I22" s="170">
        <f t="shared" si="3"/>
        <v>2.0159375840301856</v>
      </c>
      <c r="J22" s="170">
        <f t="shared" si="3"/>
        <v>1.8139289993067558</v>
      </c>
      <c r="K22" s="173">
        <f t="shared" si="3"/>
        <v>1.9073623427135047</v>
      </c>
      <c r="L22" s="172">
        <f t="shared" si="3"/>
        <v>1.7461689515752297</v>
      </c>
      <c r="M22" s="170">
        <f t="shared" si="4"/>
        <v>1.4764424876509397</v>
      </c>
      <c r="N22" s="170">
        <f t="shared" si="4"/>
        <v>1.602678522259716</v>
      </c>
      <c r="O22" s="170">
        <f t="shared" si="4"/>
        <v>1.5970503427305951</v>
      </c>
      <c r="P22" s="173">
        <f t="shared" si="4"/>
        <v>1.20285007991996</v>
      </c>
      <c r="Q22" s="172">
        <f t="shared" si="4"/>
        <v>4.9777658230559441</v>
      </c>
      <c r="R22" s="170">
        <f t="shared" si="4"/>
        <v>4.4932209840475208</v>
      </c>
      <c r="S22" s="170">
        <f t="shared" si="4"/>
        <v>4.7169300427429137</v>
      </c>
      <c r="T22" s="170">
        <f t="shared" si="4"/>
        <v>4.7027953987009372</v>
      </c>
      <c r="U22" s="174">
        <f t="shared" si="4"/>
        <v>3.988124843809417</v>
      </c>
      <c r="V22" s="175">
        <f t="shared" si="4"/>
        <v>1.3778929979236036</v>
      </c>
      <c r="W22" s="170">
        <f t="shared" si="5"/>
        <v>1.5395514601070375</v>
      </c>
      <c r="X22" s="170">
        <f t="shared" si="5"/>
        <v>1.3540838723324347</v>
      </c>
      <c r="Y22" s="170">
        <f t="shared" si="5"/>
        <v>1.9719207501978719</v>
      </c>
      <c r="Z22" s="170">
        <f t="shared" si="5"/>
        <v>2.3220562793095416</v>
      </c>
      <c r="AA22" s="170">
        <f t="shared" si="5"/>
        <v>3.2794163482316567</v>
      </c>
      <c r="AB22" s="173">
        <f t="shared" si="5"/>
        <v>2.2995852508196322</v>
      </c>
      <c r="AC22" s="170">
        <f>IF(A22="","",COUNTIF('Vika 36'!$B$5:$V$20,A22)+
COUNTIF('Vika 37'!$B$5:$V$20,A22)+
COUNTIF('Vika 38'!$B$5:$V$20,A22)+
COUNTIF('Vika 39'!$B$5:$V$20,A22)+
COUNTIF('Vika 40'!$B$5:$V$20,A22)+
COUNTIF('Vika 41'!$B$5:$V$20,A22)+
COUNTIF('Vika 42'!$B$5:$V$20,A22)+
COUNTIF('Vika 43'!$B$5:$V$20,A22)+
COUNTIF('Vika 44'!$B$5:$V$20,A22)+
COUNTIF('Vika 45'!$B$5:$V$20,A22)+
COUNTIF('Vika 46'!$B$5:$V$20,A22)+
COUNTIF('Vika 47'!$B$5:$V$20,A22)+
COUNTIF('Vika 48'!$B$5:$V$20,A22)+
COUNTIF('Vika x5'!$B$5:$V$20,A22))</f>
        <v>1</v>
      </c>
      <c r="AD22" s="145" t="s">
        <v>76</v>
      </c>
      <c r="AE22" s="146">
        <v>21</v>
      </c>
      <c r="AF22" s="146">
        <v>23</v>
      </c>
    </row>
    <row r="23" spans="1:32" x14ac:dyDescent="0.2">
      <c r="A23" s="155" t="s">
        <v>289</v>
      </c>
      <c r="B23" s="172">
        <v>2</v>
      </c>
      <c r="C23" s="170">
        <f t="shared" ref="C23:L32" si="6">IF(OR($B23="-",$B23=""),"-",$B23*C$203)</f>
        <v>1.6465522412234006</v>
      </c>
      <c r="D23" s="170">
        <f t="shared" si="6"/>
        <v>1.8070657705985191</v>
      </c>
      <c r="E23" s="170">
        <f t="shared" si="6"/>
        <v>1.7125776219736306</v>
      </c>
      <c r="F23" s="173">
        <f t="shared" si="6"/>
        <v>1.5460797510918218</v>
      </c>
      <c r="G23" s="172">
        <f t="shared" si="6"/>
        <v>2.2626688558114303</v>
      </c>
      <c r="H23" s="170">
        <f t="shared" si="6"/>
        <v>1.8179363016957926</v>
      </c>
      <c r="I23" s="170">
        <f t="shared" si="6"/>
        <v>2.0159375840301856</v>
      </c>
      <c r="J23" s="170">
        <f t="shared" si="6"/>
        <v>1.8139289993067558</v>
      </c>
      <c r="K23" s="173">
        <f t="shared" si="6"/>
        <v>1.9073623427135047</v>
      </c>
      <c r="L23" s="172">
        <f t="shared" si="6"/>
        <v>1.7461689515752297</v>
      </c>
      <c r="M23" s="170">
        <f t="shared" ref="M23:V32" si="7">IF(OR($B23="-",$B23=""),"-",$B23*M$203)</f>
        <v>1.4764424876509397</v>
      </c>
      <c r="N23" s="170">
        <f t="shared" si="7"/>
        <v>1.602678522259716</v>
      </c>
      <c r="O23" s="170">
        <f t="shared" si="7"/>
        <v>1.5970503427305951</v>
      </c>
      <c r="P23" s="173">
        <f t="shared" si="7"/>
        <v>1.20285007991996</v>
      </c>
      <c r="Q23" s="172">
        <f t="shared" si="7"/>
        <v>4.9777658230559441</v>
      </c>
      <c r="R23" s="170">
        <f t="shared" si="7"/>
        <v>4.4932209840475208</v>
      </c>
      <c r="S23" s="170">
        <f t="shared" si="7"/>
        <v>4.7169300427429137</v>
      </c>
      <c r="T23" s="170">
        <f t="shared" si="7"/>
        <v>4.7027953987009372</v>
      </c>
      <c r="U23" s="174">
        <f t="shared" si="7"/>
        <v>3.988124843809417</v>
      </c>
      <c r="V23" s="175">
        <f t="shared" si="7"/>
        <v>1.3778929979236036</v>
      </c>
      <c r="W23" s="170">
        <f t="shared" ref="W23:AB32" si="8">IF(OR($B23="-",$B23=""),"-",$B23*W$203)</f>
        <v>1.5395514601070375</v>
      </c>
      <c r="X23" s="170">
        <f t="shared" si="8"/>
        <v>1.3540838723324347</v>
      </c>
      <c r="Y23" s="170">
        <f t="shared" si="8"/>
        <v>1.9719207501978719</v>
      </c>
      <c r="Z23" s="170">
        <f t="shared" si="8"/>
        <v>2.3220562793095416</v>
      </c>
      <c r="AA23" s="170">
        <f t="shared" si="8"/>
        <v>3.2794163482316567</v>
      </c>
      <c r="AB23" s="173">
        <f t="shared" si="8"/>
        <v>2.2995852508196322</v>
      </c>
      <c r="AC23" s="170">
        <f>IF(A23="","",COUNTIF('Vika 36'!$B$5:$V$20,A23)+
COUNTIF('Vika 37'!$B$5:$V$20,A23)+
COUNTIF('Vika 38'!$B$5:$V$20,A23)+
COUNTIF('Vika 39'!$B$5:$V$20,A23)+
COUNTIF('Vika 40'!$B$5:$V$20,A23)+
COUNTIF('Vika 41'!$B$5:$V$20,A23)+
COUNTIF('Vika 42'!$B$5:$V$20,A23)+
COUNTIF('Vika 43'!$B$5:$V$20,A23)+
COUNTIF('Vika 44'!$B$5:$V$20,A23)+
COUNTIF('Vika 45'!$B$5:$V$20,A23)+
COUNTIF('Vika 46'!$B$5:$V$20,A23)+
COUNTIF('Vika 47'!$B$5:$V$20,A23)+
COUNTIF('Vika 48'!$B$5:$V$20,A23)+
COUNTIF('Vika x5'!$B$5:$V$20,A23))</f>
        <v>1</v>
      </c>
      <c r="AD23" s="145" t="s">
        <v>77</v>
      </c>
      <c r="AE23" s="146">
        <v>22</v>
      </c>
      <c r="AF23" s="146">
        <v>24</v>
      </c>
    </row>
    <row r="24" spans="1:32" x14ac:dyDescent="0.2">
      <c r="A24" s="155" t="s">
        <v>297</v>
      </c>
      <c r="B24" s="172">
        <v>2</v>
      </c>
      <c r="C24" s="170">
        <f t="shared" si="6"/>
        <v>1.6465522412234006</v>
      </c>
      <c r="D24" s="170">
        <f t="shared" si="6"/>
        <v>1.8070657705985191</v>
      </c>
      <c r="E24" s="170">
        <f t="shared" si="6"/>
        <v>1.7125776219736306</v>
      </c>
      <c r="F24" s="173">
        <f t="shared" si="6"/>
        <v>1.5460797510918218</v>
      </c>
      <c r="G24" s="172">
        <f t="shared" si="6"/>
        <v>2.2626688558114303</v>
      </c>
      <c r="H24" s="170">
        <f t="shared" si="6"/>
        <v>1.8179363016957926</v>
      </c>
      <c r="I24" s="170">
        <f t="shared" si="6"/>
        <v>2.0159375840301856</v>
      </c>
      <c r="J24" s="170">
        <f t="shared" si="6"/>
        <v>1.8139289993067558</v>
      </c>
      <c r="K24" s="173">
        <f t="shared" si="6"/>
        <v>1.9073623427135047</v>
      </c>
      <c r="L24" s="172">
        <f t="shared" si="6"/>
        <v>1.7461689515752297</v>
      </c>
      <c r="M24" s="170">
        <f t="shared" si="7"/>
        <v>1.4764424876509397</v>
      </c>
      <c r="N24" s="170">
        <f t="shared" si="7"/>
        <v>1.602678522259716</v>
      </c>
      <c r="O24" s="170">
        <f t="shared" si="7"/>
        <v>1.5970503427305951</v>
      </c>
      <c r="P24" s="173">
        <f t="shared" si="7"/>
        <v>1.20285007991996</v>
      </c>
      <c r="Q24" s="172">
        <f t="shared" si="7"/>
        <v>4.9777658230559441</v>
      </c>
      <c r="R24" s="170">
        <f t="shared" si="7"/>
        <v>4.4932209840475208</v>
      </c>
      <c r="S24" s="170">
        <f t="shared" si="7"/>
        <v>4.7169300427429137</v>
      </c>
      <c r="T24" s="170">
        <f t="shared" si="7"/>
        <v>4.7027953987009372</v>
      </c>
      <c r="U24" s="174">
        <f t="shared" si="7"/>
        <v>3.988124843809417</v>
      </c>
      <c r="V24" s="175">
        <f t="shared" si="7"/>
        <v>1.3778929979236036</v>
      </c>
      <c r="W24" s="170">
        <f t="shared" si="8"/>
        <v>1.5395514601070375</v>
      </c>
      <c r="X24" s="170">
        <f t="shared" si="8"/>
        <v>1.3540838723324347</v>
      </c>
      <c r="Y24" s="170">
        <f t="shared" si="8"/>
        <v>1.9719207501978719</v>
      </c>
      <c r="Z24" s="170">
        <f t="shared" si="8"/>
        <v>2.3220562793095416</v>
      </c>
      <c r="AA24" s="170">
        <f t="shared" si="8"/>
        <v>3.2794163482316567</v>
      </c>
      <c r="AB24" s="173">
        <f t="shared" si="8"/>
        <v>2.2995852508196322</v>
      </c>
      <c r="AC24" s="170">
        <f>IF(A24="","",COUNTIF('Vika 36'!$B$5:$V$20,A24)+
COUNTIF('Vika 37'!$B$5:$V$20,A24)+
COUNTIF('Vika 38'!$B$5:$V$20,A24)+
COUNTIF('Vika 39'!$B$5:$V$20,A24)+
COUNTIF('Vika 40'!$B$5:$V$20,A24)+
COUNTIF('Vika 41'!$B$5:$V$20,A24)+
COUNTIF('Vika 42'!$B$5:$V$20,A24)+
COUNTIF('Vika 43'!$B$5:$V$20,A24)+
COUNTIF('Vika 44'!$B$5:$V$20,A24)+
COUNTIF('Vika 45'!$B$5:$V$20,A24)+
COUNTIF('Vika 46'!$B$5:$V$20,A24)+
COUNTIF('Vika 47'!$B$5:$V$20,A24)+
COUNTIF('Vika 48'!$B$5:$V$20,A24)+
COUNTIF('Vika x5'!$B$5:$V$20,A24))</f>
        <v>1</v>
      </c>
      <c r="AD24" s="145" t="s">
        <v>78</v>
      </c>
      <c r="AE24" s="146">
        <v>23</v>
      </c>
      <c r="AF24" s="146">
        <v>25</v>
      </c>
    </row>
    <row r="25" spans="1:32" x14ac:dyDescent="0.2">
      <c r="A25" s="155" t="s">
        <v>309</v>
      </c>
      <c r="B25" s="172">
        <v>2</v>
      </c>
      <c r="C25" s="170">
        <f t="shared" si="6"/>
        <v>1.6465522412234006</v>
      </c>
      <c r="D25" s="170">
        <f t="shared" si="6"/>
        <v>1.8070657705985191</v>
      </c>
      <c r="E25" s="170">
        <f t="shared" si="6"/>
        <v>1.7125776219736306</v>
      </c>
      <c r="F25" s="173">
        <f t="shared" si="6"/>
        <v>1.5460797510918218</v>
      </c>
      <c r="G25" s="172">
        <f t="shared" si="6"/>
        <v>2.2626688558114303</v>
      </c>
      <c r="H25" s="170">
        <f t="shared" si="6"/>
        <v>1.8179363016957926</v>
      </c>
      <c r="I25" s="170">
        <f t="shared" si="6"/>
        <v>2.0159375840301856</v>
      </c>
      <c r="J25" s="170">
        <f t="shared" si="6"/>
        <v>1.8139289993067558</v>
      </c>
      <c r="K25" s="173">
        <f t="shared" si="6"/>
        <v>1.9073623427135047</v>
      </c>
      <c r="L25" s="172">
        <f t="shared" si="6"/>
        <v>1.7461689515752297</v>
      </c>
      <c r="M25" s="170">
        <f t="shared" si="7"/>
        <v>1.4764424876509397</v>
      </c>
      <c r="N25" s="170">
        <f t="shared" si="7"/>
        <v>1.602678522259716</v>
      </c>
      <c r="O25" s="170">
        <f t="shared" si="7"/>
        <v>1.5970503427305951</v>
      </c>
      <c r="P25" s="173">
        <f t="shared" si="7"/>
        <v>1.20285007991996</v>
      </c>
      <c r="Q25" s="172">
        <f t="shared" si="7"/>
        <v>4.9777658230559441</v>
      </c>
      <c r="R25" s="170">
        <f t="shared" si="7"/>
        <v>4.4932209840475208</v>
      </c>
      <c r="S25" s="170">
        <f t="shared" si="7"/>
        <v>4.7169300427429137</v>
      </c>
      <c r="T25" s="170">
        <f t="shared" si="7"/>
        <v>4.7027953987009372</v>
      </c>
      <c r="U25" s="174">
        <f t="shared" si="7"/>
        <v>3.988124843809417</v>
      </c>
      <c r="V25" s="175">
        <f t="shared" si="7"/>
        <v>1.3778929979236036</v>
      </c>
      <c r="W25" s="170">
        <f t="shared" si="8"/>
        <v>1.5395514601070375</v>
      </c>
      <c r="X25" s="170">
        <f t="shared" si="8"/>
        <v>1.3540838723324347</v>
      </c>
      <c r="Y25" s="170">
        <f t="shared" si="8"/>
        <v>1.9719207501978719</v>
      </c>
      <c r="Z25" s="170">
        <f t="shared" si="8"/>
        <v>2.3220562793095416</v>
      </c>
      <c r="AA25" s="170">
        <f t="shared" si="8"/>
        <v>3.2794163482316567</v>
      </c>
      <c r="AB25" s="173">
        <f t="shared" si="8"/>
        <v>2.2995852508196322</v>
      </c>
      <c r="AC25" s="170">
        <f>IF(A25="","",COUNTIF('Vika 36'!$B$5:$V$20,A25)+
COUNTIF('Vika 37'!$B$5:$V$20,A25)+
COUNTIF('Vika 38'!$B$5:$V$20,A25)+
COUNTIF('Vika 39'!$B$5:$V$20,A25)+
COUNTIF('Vika 40'!$B$5:$V$20,A25)+
COUNTIF('Vika 41'!$B$5:$V$20,A25)+
COUNTIF('Vika 42'!$B$5:$V$20,A25)+
COUNTIF('Vika 43'!$B$5:$V$20,A25)+
COUNTIF('Vika 44'!$B$5:$V$20,A25)+
COUNTIF('Vika 45'!$B$5:$V$20,A25)+
COUNTIF('Vika 46'!$B$5:$V$20,A25)+
COUNTIF('Vika 47'!$B$5:$V$20,A25)+
COUNTIF('Vika 48'!$B$5:$V$20,A25)+
COUNTIF('Vika x5'!$B$5:$V$20,A25))</f>
        <v>1</v>
      </c>
      <c r="AD25" s="145" t="s">
        <v>79</v>
      </c>
      <c r="AE25" s="146">
        <v>24</v>
      </c>
      <c r="AF25" s="146">
        <v>26</v>
      </c>
    </row>
    <row r="26" spans="1:32" x14ac:dyDescent="0.2">
      <c r="A26" s="155" t="s">
        <v>290</v>
      </c>
      <c r="B26" s="172">
        <v>2</v>
      </c>
      <c r="C26" s="170">
        <f t="shared" si="6"/>
        <v>1.6465522412234006</v>
      </c>
      <c r="D26" s="170">
        <f t="shared" si="6"/>
        <v>1.8070657705985191</v>
      </c>
      <c r="E26" s="170">
        <f t="shared" si="6"/>
        <v>1.7125776219736306</v>
      </c>
      <c r="F26" s="173">
        <f t="shared" si="6"/>
        <v>1.5460797510918218</v>
      </c>
      <c r="G26" s="172">
        <f t="shared" si="6"/>
        <v>2.2626688558114303</v>
      </c>
      <c r="H26" s="170">
        <f t="shared" si="6"/>
        <v>1.8179363016957926</v>
      </c>
      <c r="I26" s="170">
        <f t="shared" si="6"/>
        <v>2.0159375840301856</v>
      </c>
      <c r="J26" s="170">
        <f t="shared" si="6"/>
        <v>1.8139289993067558</v>
      </c>
      <c r="K26" s="173">
        <f t="shared" si="6"/>
        <v>1.9073623427135047</v>
      </c>
      <c r="L26" s="172">
        <f t="shared" si="6"/>
        <v>1.7461689515752297</v>
      </c>
      <c r="M26" s="170">
        <f t="shared" si="7"/>
        <v>1.4764424876509397</v>
      </c>
      <c r="N26" s="170">
        <f t="shared" si="7"/>
        <v>1.602678522259716</v>
      </c>
      <c r="O26" s="170">
        <f t="shared" si="7"/>
        <v>1.5970503427305951</v>
      </c>
      <c r="P26" s="173">
        <f t="shared" si="7"/>
        <v>1.20285007991996</v>
      </c>
      <c r="Q26" s="172">
        <f t="shared" si="7"/>
        <v>4.9777658230559441</v>
      </c>
      <c r="R26" s="170">
        <f t="shared" si="7"/>
        <v>4.4932209840475208</v>
      </c>
      <c r="S26" s="170">
        <f t="shared" si="7"/>
        <v>4.7169300427429137</v>
      </c>
      <c r="T26" s="170">
        <f t="shared" si="7"/>
        <v>4.7027953987009372</v>
      </c>
      <c r="U26" s="174">
        <f t="shared" si="7"/>
        <v>3.988124843809417</v>
      </c>
      <c r="V26" s="175">
        <f t="shared" si="7"/>
        <v>1.3778929979236036</v>
      </c>
      <c r="W26" s="170">
        <f t="shared" si="8"/>
        <v>1.5395514601070375</v>
      </c>
      <c r="X26" s="170">
        <f t="shared" si="8"/>
        <v>1.3540838723324347</v>
      </c>
      <c r="Y26" s="170">
        <f t="shared" si="8"/>
        <v>1.9719207501978719</v>
      </c>
      <c r="Z26" s="170">
        <f t="shared" si="8"/>
        <v>2.3220562793095416</v>
      </c>
      <c r="AA26" s="170">
        <f t="shared" si="8"/>
        <v>3.2794163482316567</v>
      </c>
      <c r="AB26" s="173">
        <f t="shared" si="8"/>
        <v>2.2995852508196322</v>
      </c>
      <c r="AC26" s="170">
        <f>IF(A26="","",COUNTIF('Vika 36'!$B$5:$V$20,A26)+
COUNTIF('Vika 37'!$B$5:$V$20,A26)+
COUNTIF('Vika 38'!$B$5:$V$20,A26)+
COUNTIF('Vika 39'!$B$5:$V$20,A26)+
COUNTIF('Vika 40'!$B$5:$V$20,A26)+
COUNTIF('Vika 41'!$B$5:$V$20,A26)+
COUNTIF('Vika 42'!$B$5:$V$20,A26)+
COUNTIF('Vika 43'!$B$5:$V$20,A26)+
COUNTIF('Vika 44'!$B$5:$V$20,A26)+
COUNTIF('Vika 45'!$B$5:$V$20,A26)+
COUNTIF('Vika 46'!$B$5:$V$20,A26)+
COUNTIF('Vika 47'!$B$5:$V$20,A26)+
COUNTIF('Vika 48'!$B$5:$V$20,A26)+
COUNTIF('Vika x5'!$B$5:$V$20,A26))</f>
        <v>1</v>
      </c>
      <c r="AD26" s="145" t="s">
        <v>80</v>
      </c>
      <c r="AE26" s="146">
        <v>25</v>
      </c>
      <c r="AF26" s="146">
        <v>27</v>
      </c>
    </row>
    <row r="27" spans="1:32" x14ac:dyDescent="0.2">
      <c r="A27" s="155" t="s">
        <v>281</v>
      </c>
      <c r="B27" s="172">
        <v>2</v>
      </c>
      <c r="C27" s="170">
        <f t="shared" si="6"/>
        <v>1.6465522412234006</v>
      </c>
      <c r="D27" s="170">
        <f t="shared" si="6"/>
        <v>1.8070657705985191</v>
      </c>
      <c r="E27" s="170">
        <f t="shared" si="6"/>
        <v>1.7125776219736306</v>
      </c>
      <c r="F27" s="173">
        <f t="shared" si="6"/>
        <v>1.5460797510918218</v>
      </c>
      <c r="G27" s="172">
        <f t="shared" si="6"/>
        <v>2.2626688558114303</v>
      </c>
      <c r="H27" s="170">
        <f t="shared" si="6"/>
        <v>1.8179363016957926</v>
      </c>
      <c r="I27" s="170">
        <f t="shared" si="6"/>
        <v>2.0159375840301856</v>
      </c>
      <c r="J27" s="170">
        <f t="shared" si="6"/>
        <v>1.8139289993067558</v>
      </c>
      <c r="K27" s="173">
        <f t="shared" si="6"/>
        <v>1.9073623427135047</v>
      </c>
      <c r="L27" s="172">
        <f t="shared" si="6"/>
        <v>1.7461689515752297</v>
      </c>
      <c r="M27" s="170">
        <f t="shared" si="7"/>
        <v>1.4764424876509397</v>
      </c>
      <c r="N27" s="170">
        <f t="shared" si="7"/>
        <v>1.602678522259716</v>
      </c>
      <c r="O27" s="170">
        <f t="shared" si="7"/>
        <v>1.5970503427305951</v>
      </c>
      <c r="P27" s="173">
        <f t="shared" si="7"/>
        <v>1.20285007991996</v>
      </c>
      <c r="Q27" s="172">
        <f t="shared" si="7"/>
        <v>4.9777658230559441</v>
      </c>
      <c r="R27" s="170">
        <f t="shared" si="7"/>
        <v>4.4932209840475208</v>
      </c>
      <c r="S27" s="170">
        <f t="shared" si="7"/>
        <v>4.7169300427429137</v>
      </c>
      <c r="T27" s="170">
        <f t="shared" si="7"/>
        <v>4.7027953987009372</v>
      </c>
      <c r="U27" s="174">
        <f t="shared" si="7"/>
        <v>3.988124843809417</v>
      </c>
      <c r="V27" s="175">
        <f t="shared" si="7"/>
        <v>1.3778929979236036</v>
      </c>
      <c r="W27" s="170">
        <f t="shared" si="8"/>
        <v>1.5395514601070375</v>
      </c>
      <c r="X27" s="170">
        <f t="shared" si="8"/>
        <v>1.3540838723324347</v>
      </c>
      <c r="Y27" s="170">
        <f t="shared" si="8"/>
        <v>1.9719207501978719</v>
      </c>
      <c r="Z27" s="170">
        <f t="shared" si="8"/>
        <v>2.3220562793095416</v>
      </c>
      <c r="AA27" s="170">
        <f t="shared" si="8"/>
        <v>3.2794163482316567</v>
      </c>
      <c r="AB27" s="173">
        <f t="shared" si="8"/>
        <v>2.2995852508196322</v>
      </c>
      <c r="AC27" s="170">
        <f>IF(A27="","",COUNTIF('Vika 36'!$B$5:$V$20,A27)+
COUNTIF('Vika 37'!$B$5:$V$20,A27)+
COUNTIF('Vika 38'!$B$5:$V$20,A27)+
COUNTIF('Vika 39'!$B$5:$V$20,A27)+
COUNTIF('Vika 40'!$B$5:$V$20,A27)+
COUNTIF('Vika 41'!$B$5:$V$20,A27)+
COUNTIF('Vika 42'!$B$5:$V$20,A27)+
COUNTIF('Vika 43'!$B$5:$V$20,A27)+
COUNTIF('Vika 44'!$B$5:$V$20,A27)+
COUNTIF('Vika 45'!$B$5:$V$20,A27)+
COUNTIF('Vika 46'!$B$5:$V$20,A27)+
COUNTIF('Vika 47'!$B$5:$V$20,A27)+
COUNTIF('Vika 48'!$B$5:$V$20,A27)+
COUNTIF('Vika x5'!$B$5:$V$20,A27))</f>
        <v>1</v>
      </c>
      <c r="AD27" s="145" t="s">
        <v>81</v>
      </c>
      <c r="AE27" s="146">
        <v>26</v>
      </c>
      <c r="AF27" s="146">
        <v>28</v>
      </c>
    </row>
    <row r="28" spans="1:32" x14ac:dyDescent="0.2">
      <c r="A28" s="155" t="s">
        <v>248</v>
      </c>
      <c r="B28" s="172">
        <v>2</v>
      </c>
      <c r="C28" s="170">
        <f t="shared" si="6"/>
        <v>1.6465522412234006</v>
      </c>
      <c r="D28" s="170">
        <f t="shared" si="6"/>
        <v>1.8070657705985191</v>
      </c>
      <c r="E28" s="170">
        <f t="shared" si="6"/>
        <v>1.7125776219736306</v>
      </c>
      <c r="F28" s="173">
        <f t="shared" si="6"/>
        <v>1.5460797510918218</v>
      </c>
      <c r="G28" s="172">
        <f t="shared" si="6"/>
        <v>2.2626688558114303</v>
      </c>
      <c r="H28" s="170">
        <f t="shared" si="6"/>
        <v>1.8179363016957926</v>
      </c>
      <c r="I28" s="170">
        <f t="shared" si="6"/>
        <v>2.0159375840301856</v>
      </c>
      <c r="J28" s="170">
        <f t="shared" si="6"/>
        <v>1.8139289993067558</v>
      </c>
      <c r="K28" s="173">
        <f t="shared" si="6"/>
        <v>1.9073623427135047</v>
      </c>
      <c r="L28" s="172">
        <f t="shared" si="6"/>
        <v>1.7461689515752297</v>
      </c>
      <c r="M28" s="170">
        <f t="shared" si="7"/>
        <v>1.4764424876509397</v>
      </c>
      <c r="N28" s="170">
        <f t="shared" si="7"/>
        <v>1.602678522259716</v>
      </c>
      <c r="O28" s="170">
        <f t="shared" si="7"/>
        <v>1.5970503427305951</v>
      </c>
      <c r="P28" s="173">
        <f t="shared" si="7"/>
        <v>1.20285007991996</v>
      </c>
      <c r="Q28" s="172">
        <f t="shared" si="7"/>
        <v>4.9777658230559441</v>
      </c>
      <c r="R28" s="170">
        <f t="shared" si="7"/>
        <v>4.4932209840475208</v>
      </c>
      <c r="S28" s="170">
        <f t="shared" si="7"/>
        <v>4.7169300427429137</v>
      </c>
      <c r="T28" s="170">
        <f t="shared" si="7"/>
        <v>4.7027953987009372</v>
      </c>
      <c r="U28" s="174">
        <f t="shared" si="7"/>
        <v>3.988124843809417</v>
      </c>
      <c r="V28" s="175">
        <f t="shared" si="7"/>
        <v>1.3778929979236036</v>
      </c>
      <c r="W28" s="170">
        <f t="shared" si="8"/>
        <v>1.5395514601070375</v>
      </c>
      <c r="X28" s="170">
        <f t="shared" si="8"/>
        <v>1.3540838723324347</v>
      </c>
      <c r="Y28" s="170">
        <f t="shared" si="8"/>
        <v>1.9719207501978719</v>
      </c>
      <c r="Z28" s="170">
        <f t="shared" si="8"/>
        <v>2.3220562793095416</v>
      </c>
      <c r="AA28" s="170">
        <f t="shared" si="8"/>
        <v>3.2794163482316567</v>
      </c>
      <c r="AB28" s="173">
        <f t="shared" si="8"/>
        <v>2.2995852508196322</v>
      </c>
      <c r="AC28" s="170">
        <f>IF(A28="","",COUNTIF('Vika 36'!$B$5:$V$20,A28)+
COUNTIF('Vika 37'!$B$5:$V$20,A28)+
COUNTIF('Vika 38'!$B$5:$V$20,A28)+
COUNTIF('Vika 39'!$B$5:$V$20,A28)+
COUNTIF('Vika 40'!$B$5:$V$20,A28)+
COUNTIF('Vika 41'!$B$5:$V$20,A28)+
COUNTIF('Vika 42'!$B$5:$V$20,A28)+
COUNTIF('Vika 43'!$B$5:$V$20,A28)+
COUNTIF('Vika 44'!$B$5:$V$20,A28)+
COUNTIF('Vika 45'!$B$5:$V$20,A28)+
COUNTIF('Vika 46'!$B$5:$V$20,A28)+
COUNTIF('Vika 47'!$B$5:$V$20,A28)+
COUNTIF('Vika 48'!$B$5:$V$20,A28)+
COUNTIF('Vika x5'!$B$5:$V$20,A28))</f>
        <v>1</v>
      </c>
      <c r="AD28" s="145" t="s">
        <v>82</v>
      </c>
      <c r="AE28" s="146">
        <v>27</v>
      </c>
      <c r="AF28" s="146">
        <v>29</v>
      </c>
    </row>
    <row r="29" spans="1:32" x14ac:dyDescent="0.2">
      <c r="A29" s="155" t="s">
        <v>298</v>
      </c>
      <c r="B29" s="172">
        <v>2</v>
      </c>
      <c r="C29" s="170">
        <f t="shared" si="6"/>
        <v>1.6465522412234006</v>
      </c>
      <c r="D29" s="170">
        <f t="shared" si="6"/>
        <v>1.8070657705985191</v>
      </c>
      <c r="E29" s="170">
        <f t="shared" si="6"/>
        <v>1.7125776219736306</v>
      </c>
      <c r="F29" s="173">
        <f t="shared" si="6"/>
        <v>1.5460797510918218</v>
      </c>
      <c r="G29" s="172">
        <f t="shared" si="6"/>
        <v>2.2626688558114303</v>
      </c>
      <c r="H29" s="170">
        <f t="shared" si="6"/>
        <v>1.8179363016957926</v>
      </c>
      <c r="I29" s="170">
        <f t="shared" si="6"/>
        <v>2.0159375840301856</v>
      </c>
      <c r="J29" s="170">
        <f t="shared" si="6"/>
        <v>1.8139289993067558</v>
      </c>
      <c r="K29" s="173">
        <f t="shared" si="6"/>
        <v>1.9073623427135047</v>
      </c>
      <c r="L29" s="172">
        <f t="shared" si="6"/>
        <v>1.7461689515752297</v>
      </c>
      <c r="M29" s="170">
        <f t="shared" si="7"/>
        <v>1.4764424876509397</v>
      </c>
      <c r="N29" s="170">
        <f t="shared" si="7"/>
        <v>1.602678522259716</v>
      </c>
      <c r="O29" s="170">
        <f t="shared" si="7"/>
        <v>1.5970503427305951</v>
      </c>
      <c r="P29" s="173">
        <f t="shared" si="7"/>
        <v>1.20285007991996</v>
      </c>
      <c r="Q29" s="172">
        <f t="shared" si="7"/>
        <v>4.9777658230559441</v>
      </c>
      <c r="R29" s="170">
        <f t="shared" si="7"/>
        <v>4.4932209840475208</v>
      </c>
      <c r="S29" s="170">
        <f t="shared" si="7"/>
        <v>4.7169300427429137</v>
      </c>
      <c r="T29" s="170">
        <f t="shared" si="7"/>
        <v>4.7027953987009372</v>
      </c>
      <c r="U29" s="174">
        <f t="shared" si="7"/>
        <v>3.988124843809417</v>
      </c>
      <c r="V29" s="175">
        <f t="shared" si="7"/>
        <v>1.3778929979236036</v>
      </c>
      <c r="W29" s="170">
        <f t="shared" si="8"/>
        <v>1.5395514601070375</v>
      </c>
      <c r="X29" s="170">
        <f t="shared" si="8"/>
        <v>1.3540838723324347</v>
      </c>
      <c r="Y29" s="170">
        <f t="shared" si="8"/>
        <v>1.9719207501978719</v>
      </c>
      <c r="Z29" s="170">
        <f t="shared" si="8"/>
        <v>2.3220562793095416</v>
      </c>
      <c r="AA29" s="170">
        <f t="shared" si="8"/>
        <v>3.2794163482316567</v>
      </c>
      <c r="AB29" s="173">
        <f t="shared" si="8"/>
        <v>2.2995852508196322</v>
      </c>
      <c r="AC29" s="170">
        <f>IF(A29="","",COUNTIF('Vika 36'!$B$5:$V$20,A29)+
COUNTIF('Vika 37'!$B$5:$V$20,A29)+
COUNTIF('Vika 38'!$B$5:$V$20,A29)+
COUNTIF('Vika 39'!$B$5:$V$20,A29)+
COUNTIF('Vika 40'!$B$5:$V$20,A29)+
COUNTIF('Vika 41'!$B$5:$V$20,A29)+
COUNTIF('Vika 42'!$B$5:$V$20,A29)+
COUNTIF('Vika 43'!$B$5:$V$20,A29)+
COUNTIF('Vika 44'!$B$5:$V$20,A29)+
COUNTIF('Vika 45'!$B$5:$V$20,A29)+
COUNTIF('Vika 46'!$B$5:$V$20,A29)+
COUNTIF('Vika 47'!$B$5:$V$20,A29)+
COUNTIF('Vika 48'!$B$5:$V$20,A29)+
COUNTIF('Vika x5'!$B$5:$V$20,A29))</f>
        <v>1</v>
      </c>
      <c r="AD29" s="145" t="s">
        <v>83</v>
      </c>
      <c r="AE29" s="146">
        <v>28</v>
      </c>
      <c r="AF29" s="146">
        <v>30</v>
      </c>
    </row>
    <row r="30" spans="1:32" x14ac:dyDescent="0.2">
      <c r="A30" s="155" t="s">
        <v>246</v>
      </c>
      <c r="B30" s="172">
        <v>2</v>
      </c>
      <c r="C30" s="170">
        <f t="shared" si="6"/>
        <v>1.6465522412234006</v>
      </c>
      <c r="D30" s="170">
        <f t="shared" si="6"/>
        <v>1.8070657705985191</v>
      </c>
      <c r="E30" s="170">
        <f t="shared" si="6"/>
        <v>1.7125776219736306</v>
      </c>
      <c r="F30" s="173">
        <f t="shared" si="6"/>
        <v>1.5460797510918218</v>
      </c>
      <c r="G30" s="172">
        <f t="shared" si="6"/>
        <v>2.2626688558114303</v>
      </c>
      <c r="H30" s="170">
        <f t="shared" si="6"/>
        <v>1.8179363016957926</v>
      </c>
      <c r="I30" s="170">
        <f t="shared" si="6"/>
        <v>2.0159375840301856</v>
      </c>
      <c r="J30" s="170">
        <f t="shared" si="6"/>
        <v>1.8139289993067558</v>
      </c>
      <c r="K30" s="173">
        <f t="shared" si="6"/>
        <v>1.9073623427135047</v>
      </c>
      <c r="L30" s="172">
        <f t="shared" si="6"/>
        <v>1.7461689515752297</v>
      </c>
      <c r="M30" s="170">
        <f t="shared" si="7"/>
        <v>1.4764424876509397</v>
      </c>
      <c r="N30" s="170">
        <f t="shared" si="7"/>
        <v>1.602678522259716</v>
      </c>
      <c r="O30" s="170">
        <f t="shared" si="7"/>
        <v>1.5970503427305951</v>
      </c>
      <c r="P30" s="173">
        <f t="shared" si="7"/>
        <v>1.20285007991996</v>
      </c>
      <c r="Q30" s="172">
        <f t="shared" si="7"/>
        <v>4.9777658230559441</v>
      </c>
      <c r="R30" s="170">
        <f t="shared" si="7"/>
        <v>4.4932209840475208</v>
      </c>
      <c r="S30" s="170">
        <f t="shared" si="7"/>
        <v>4.7169300427429137</v>
      </c>
      <c r="T30" s="170">
        <f t="shared" si="7"/>
        <v>4.7027953987009372</v>
      </c>
      <c r="U30" s="174">
        <f t="shared" si="7"/>
        <v>3.988124843809417</v>
      </c>
      <c r="V30" s="175">
        <f t="shared" si="7"/>
        <v>1.3778929979236036</v>
      </c>
      <c r="W30" s="170">
        <f t="shared" si="8"/>
        <v>1.5395514601070375</v>
      </c>
      <c r="X30" s="170">
        <f t="shared" si="8"/>
        <v>1.3540838723324347</v>
      </c>
      <c r="Y30" s="170">
        <f t="shared" si="8"/>
        <v>1.9719207501978719</v>
      </c>
      <c r="Z30" s="170">
        <f t="shared" si="8"/>
        <v>2.3220562793095416</v>
      </c>
      <c r="AA30" s="170">
        <f t="shared" si="8"/>
        <v>3.2794163482316567</v>
      </c>
      <c r="AB30" s="173">
        <f t="shared" si="8"/>
        <v>2.2995852508196322</v>
      </c>
      <c r="AC30" s="170">
        <f>IF(A30="","",COUNTIF('Vika 36'!$B$5:$V$20,A30)+
COUNTIF('Vika 37'!$B$5:$V$20,A30)+
COUNTIF('Vika 38'!$B$5:$V$20,A30)+
COUNTIF('Vika 39'!$B$5:$V$20,A30)+
COUNTIF('Vika 40'!$B$5:$V$20,A30)+
COUNTIF('Vika 41'!$B$5:$V$20,A30)+
COUNTIF('Vika 42'!$B$5:$V$20,A30)+
COUNTIF('Vika 43'!$B$5:$V$20,A30)+
COUNTIF('Vika 44'!$B$5:$V$20,A30)+
COUNTIF('Vika 45'!$B$5:$V$20,A30)+
COUNTIF('Vika 46'!$B$5:$V$20,A30)+
COUNTIF('Vika 47'!$B$5:$V$20,A30)+
COUNTIF('Vika 48'!$B$5:$V$20,A30)+
COUNTIF('Vika x5'!$B$5:$V$20,A30))</f>
        <v>1</v>
      </c>
    </row>
    <row r="31" spans="1:32" x14ac:dyDescent="0.2">
      <c r="A31" s="155" t="s">
        <v>231</v>
      </c>
      <c r="B31" s="172">
        <v>2</v>
      </c>
      <c r="C31" s="170">
        <f t="shared" si="6"/>
        <v>1.6465522412234006</v>
      </c>
      <c r="D31" s="170">
        <f t="shared" si="6"/>
        <v>1.8070657705985191</v>
      </c>
      <c r="E31" s="170">
        <f t="shared" si="6"/>
        <v>1.7125776219736306</v>
      </c>
      <c r="F31" s="173">
        <f t="shared" si="6"/>
        <v>1.5460797510918218</v>
      </c>
      <c r="G31" s="172">
        <f t="shared" si="6"/>
        <v>2.2626688558114303</v>
      </c>
      <c r="H31" s="170">
        <f t="shared" si="6"/>
        <v>1.8179363016957926</v>
      </c>
      <c r="I31" s="170">
        <f t="shared" si="6"/>
        <v>2.0159375840301856</v>
      </c>
      <c r="J31" s="170">
        <f t="shared" si="6"/>
        <v>1.8139289993067558</v>
      </c>
      <c r="K31" s="173">
        <f t="shared" si="6"/>
        <v>1.9073623427135047</v>
      </c>
      <c r="L31" s="172">
        <f t="shared" si="6"/>
        <v>1.7461689515752297</v>
      </c>
      <c r="M31" s="170">
        <f t="shared" si="7"/>
        <v>1.4764424876509397</v>
      </c>
      <c r="N31" s="170">
        <f t="shared" si="7"/>
        <v>1.602678522259716</v>
      </c>
      <c r="O31" s="170">
        <f t="shared" si="7"/>
        <v>1.5970503427305951</v>
      </c>
      <c r="P31" s="173">
        <f t="shared" si="7"/>
        <v>1.20285007991996</v>
      </c>
      <c r="Q31" s="172">
        <f t="shared" si="7"/>
        <v>4.9777658230559441</v>
      </c>
      <c r="R31" s="170">
        <f t="shared" si="7"/>
        <v>4.4932209840475208</v>
      </c>
      <c r="S31" s="170">
        <f t="shared" si="7"/>
        <v>4.7169300427429137</v>
      </c>
      <c r="T31" s="170">
        <f t="shared" si="7"/>
        <v>4.7027953987009372</v>
      </c>
      <c r="U31" s="174">
        <f t="shared" si="7"/>
        <v>3.988124843809417</v>
      </c>
      <c r="V31" s="175">
        <f t="shared" si="7"/>
        <v>1.3778929979236036</v>
      </c>
      <c r="W31" s="170">
        <f t="shared" si="8"/>
        <v>1.5395514601070375</v>
      </c>
      <c r="X31" s="170">
        <f t="shared" si="8"/>
        <v>1.3540838723324347</v>
      </c>
      <c r="Y31" s="170">
        <f t="shared" si="8"/>
        <v>1.9719207501978719</v>
      </c>
      <c r="Z31" s="170">
        <f t="shared" si="8"/>
        <v>2.3220562793095416</v>
      </c>
      <c r="AA31" s="170">
        <f t="shared" si="8"/>
        <v>3.2794163482316567</v>
      </c>
      <c r="AB31" s="173">
        <f t="shared" si="8"/>
        <v>2.2995852508196322</v>
      </c>
      <c r="AC31" s="170">
        <f>IF(A31="","",COUNTIF('Vika 36'!$B$5:$V$20,A31)+
COUNTIF('Vika 37'!$B$5:$V$20,A31)+
COUNTIF('Vika 38'!$B$5:$V$20,A31)+
COUNTIF('Vika 39'!$B$5:$V$20,A31)+
COUNTIF('Vika 40'!$B$5:$V$20,A31)+
COUNTIF('Vika 41'!$B$5:$V$20,A31)+
COUNTIF('Vika 42'!$B$5:$V$20,A31)+
COUNTIF('Vika 43'!$B$5:$V$20,A31)+
COUNTIF('Vika 44'!$B$5:$V$20,A31)+
COUNTIF('Vika 45'!$B$5:$V$20,A31)+
COUNTIF('Vika 46'!$B$5:$V$20,A31)+
COUNTIF('Vika 47'!$B$5:$V$20,A31)+
COUNTIF('Vika 48'!$B$5:$V$20,A31)+
COUNTIF('Vika x5'!$B$5:$V$20,A31))</f>
        <v>2</v>
      </c>
      <c r="AD31" s="161">
        <v>0.9</v>
      </c>
    </row>
    <row r="32" spans="1:32" x14ac:dyDescent="0.2">
      <c r="A32" s="155" t="s">
        <v>312</v>
      </c>
      <c r="B32" s="172">
        <v>2</v>
      </c>
      <c r="C32" s="170">
        <f t="shared" si="6"/>
        <v>1.6465522412234006</v>
      </c>
      <c r="D32" s="170">
        <f t="shared" si="6"/>
        <v>1.8070657705985191</v>
      </c>
      <c r="E32" s="170">
        <f t="shared" si="6"/>
        <v>1.7125776219736306</v>
      </c>
      <c r="F32" s="173">
        <f t="shared" si="6"/>
        <v>1.5460797510918218</v>
      </c>
      <c r="G32" s="172">
        <f t="shared" si="6"/>
        <v>2.2626688558114303</v>
      </c>
      <c r="H32" s="170">
        <f t="shared" si="6"/>
        <v>1.8179363016957926</v>
      </c>
      <c r="I32" s="170">
        <f t="shared" si="6"/>
        <v>2.0159375840301856</v>
      </c>
      <c r="J32" s="170">
        <f t="shared" si="6"/>
        <v>1.8139289993067558</v>
      </c>
      <c r="K32" s="173">
        <f t="shared" si="6"/>
        <v>1.9073623427135047</v>
      </c>
      <c r="L32" s="172">
        <f t="shared" si="6"/>
        <v>1.7461689515752297</v>
      </c>
      <c r="M32" s="170">
        <f t="shared" si="7"/>
        <v>1.4764424876509397</v>
      </c>
      <c r="N32" s="170">
        <f t="shared" si="7"/>
        <v>1.602678522259716</v>
      </c>
      <c r="O32" s="170">
        <f t="shared" si="7"/>
        <v>1.5970503427305951</v>
      </c>
      <c r="P32" s="173">
        <f t="shared" si="7"/>
        <v>1.20285007991996</v>
      </c>
      <c r="Q32" s="172">
        <f t="shared" si="7"/>
        <v>4.9777658230559441</v>
      </c>
      <c r="R32" s="170">
        <f t="shared" si="7"/>
        <v>4.4932209840475208</v>
      </c>
      <c r="S32" s="170">
        <f t="shared" si="7"/>
        <v>4.7169300427429137</v>
      </c>
      <c r="T32" s="170">
        <f t="shared" si="7"/>
        <v>4.7027953987009372</v>
      </c>
      <c r="U32" s="174">
        <f t="shared" si="7"/>
        <v>3.988124843809417</v>
      </c>
      <c r="V32" s="175">
        <f t="shared" si="7"/>
        <v>1.3778929979236036</v>
      </c>
      <c r="W32" s="170">
        <f t="shared" si="8"/>
        <v>1.5395514601070375</v>
      </c>
      <c r="X32" s="170">
        <f t="shared" si="8"/>
        <v>1.3540838723324347</v>
      </c>
      <c r="Y32" s="170">
        <f t="shared" si="8"/>
        <v>1.9719207501978719</v>
      </c>
      <c r="Z32" s="170">
        <f t="shared" si="8"/>
        <v>2.3220562793095416</v>
      </c>
      <c r="AA32" s="170">
        <f t="shared" si="8"/>
        <v>3.2794163482316567</v>
      </c>
      <c r="AB32" s="173">
        <f t="shared" si="8"/>
        <v>2.2995852508196322</v>
      </c>
      <c r="AC32" s="170">
        <f>IF(A32="","",COUNTIF('Vika 36'!$B$5:$V$20,A32)+
COUNTIF('Vika 37'!$B$5:$V$20,A32)+
COUNTIF('Vika 38'!$B$5:$V$20,A32)+
COUNTIF('Vika 39'!$B$5:$V$20,A32)+
COUNTIF('Vika 40'!$B$5:$V$20,A32)+
COUNTIF('Vika 41'!$B$5:$V$20,A32)+
COUNTIF('Vika 42'!$B$5:$V$20,A32)+
COUNTIF('Vika 43'!$B$5:$V$20,A32)+
COUNTIF('Vika 44'!$B$5:$V$20,A32)+
COUNTIF('Vika 45'!$B$5:$V$20,A32)+
COUNTIF('Vika 46'!$B$5:$V$20,A32)+
COUNTIF('Vika 47'!$B$5:$V$20,A32)+
COUNTIF('Vika 48'!$B$5:$V$20,A32)+
COUNTIF('Vika x5'!$B$5:$V$20,A32))</f>
        <v>1</v>
      </c>
    </row>
    <row r="33" spans="1:32" x14ac:dyDescent="0.2">
      <c r="A33" s="155" t="s">
        <v>238</v>
      </c>
      <c r="B33" s="172">
        <v>2</v>
      </c>
      <c r="C33" s="170">
        <f t="shared" ref="C33:L42" si="9">IF(OR($B33="-",$B33=""),"-",$B33*C$203)</f>
        <v>1.6465522412234006</v>
      </c>
      <c r="D33" s="170">
        <f t="shared" si="9"/>
        <v>1.8070657705985191</v>
      </c>
      <c r="E33" s="170">
        <f t="shared" si="9"/>
        <v>1.7125776219736306</v>
      </c>
      <c r="F33" s="173">
        <f t="shared" si="9"/>
        <v>1.5460797510918218</v>
      </c>
      <c r="G33" s="172">
        <f t="shared" si="9"/>
        <v>2.2626688558114303</v>
      </c>
      <c r="H33" s="170">
        <f t="shared" si="9"/>
        <v>1.8179363016957926</v>
      </c>
      <c r="I33" s="170">
        <f t="shared" si="9"/>
        <v>2.0159375840301856</v>
      </c>
      <c r="J33" s="170">
        <f t="shared" si="9"/>
        <v>1.8139289993067558</v>
      </c>
      <c r="K33" s="173">
        <f t="shared" si="9"/>
        <v>1.9073623427135047</v>
      </c>
      <c r="L33" s="172">
        <f t="shared" si="9"/>
        <v>1.7461689515752297</v>
      </c>
      <c r="M33" s="170">
        <f t="shared" ref="M33:V42" si="10">IF(OR($B33="-",$B33=""),"-",$B33*M$203)</f>
        <v>1.4764424876509397</v>
      </c>
      <c r="N33" s="170">
        <f t="shared" si="10"/>
        <v>1.602678522259716</v>
      </c>
      <c r="O33" s="170">
        <f t="shared" si="10"/>
        <v>1.5970503427305951</v>
      </c>
      <c r="P33" s="173">
        <f t="shared" si="10"/>
        <v>1.20285007991996</v>
      </c>
      <c r="Q33" s="172">
        <f t="shared" si="10"/>
        <v>4.9777658230559441</v>
      </c>
      <c r="R33" s="170">
        <f t="shared" si="10"/>
        <v>4.4932209840475208</v>
      </c>
      <c r="S33" s="170">
        <f t="shared" si="10"/>
        <v>4.7169300427429137</v>
      </c>
      <c r="T33" s="170">
        <f t="shared" si="10"/>
        <v>4.7027953987009372</v>
      </c>
      <c r="U33" s="174">
        <f t="shared" si="10"/>
        <v>3.988124843809417</v>
      </c>
      <c r="V33" s="175">
        <f t="shared" si="10"/>
        <v>1.3778929979236036</v>
      </c>
      <c r="W33" s="170">
        <f t="shared" ref="W33:AB42" si="11">IF(OR($B33="-",$B33=""),"-",$B33*W$203)</f>
        <v>1.5395514601070375</v>
      </c>
      <c r="X33" s="170">
        <f t="shared" si="11"/>
        <v>1.3540838723324347</v>
      </c>
      <c r="Y33" s="170">
        <f t="shared" si="11"/>
        <v>1.9719207501978719</v>
      </c>
      <c r="Z33" s="170">
        <f t="shared" si="11"/>
        <v>2.3220562793095416</v>
      </c>
      <c r="AA33" s="170">
        <f t="shared" si="11"/>
        <v>3.2794163482316567</v>
      </c>
      <c r="AB33" s="173">
        <f t="shared" si="11"/>
        <v>2.2995852508196322</v>
      </c>
      <c r="AC33" s="170">
        <f>IF(A33="","",COUNTIF('Vika 36'!$B$5:$V$20,A33)+
COUNTIF('Vika 37'!$B$5:$V$20,A33)+
COUNTIF('Vika 38'!$B$5:$V$20,A33)+
COUNTIF('Vika 39'!$B$5:$V$20,A33)+
COUNTIF('Vika 40'!$B$5:$V$20,A33)+
COUNTIF('Vika 41'!$B$5:$V$20,A33)+
COUNTIF('Vika 42'!$B$5:$V$20,A33)+
COUNTIF('Vika 43'!$B$5:$V$20,A33)+
COUNTIF('Vika 44'!$B$5:$V$20,A33)+
COUNTIF('Vika 45'!$B$5:$V$20,A33)+
COUNTIF('Vika 46'!$B$5:$V$20,A33)+
COUNTIF('Vika 47'!$B$5:$V$20,A33)+
COUNTIF('Vika 48'!$B$5:$V$20,A33)+
COUNTIF('Vika x5'!$B$5:$V$20,A33))</f>
        <v>1</v>
      </c>
      <c r="AD33" s="157">
        <v>1</v>
      </c>
    </row>
    <row r="34" spans="1:32" x14ac:dyDescent="0.2">
      <c r="A34" s="155" t="s">
        <v>315</v>
      </c>
      <c r="B34" s="172">
        <v>2</v>
      </c>
      <c r="C34" s="170">
        <f t="shared" si="9"/>
        <v>1.6465522412234006</v>
      </c>
      <c r="D34" s="170">
        <f t="shared" si="9"/>
        <v>1.8070657705985191</v>
      </c>
      <c r="E34" s="170">
        <f t="shared" si="9"/>
        <v>1.7125776219736306</v>
      </c>
      <c r="F34" s="173">
        <f t="shared" si="9"/>
        <v>1.5460797510918218</v>
      </c>
      <c r="G34" s="172">
        <f t="shared" si="9"/>
        <v>2.2626688558114303</v>
      </c>
      <c r="H34" s="170">
        <f t="shared" si="9"/>
        <v>1.8179363016957926</v>
      </c>
      <c r="I34" s="170">
        <f t="shared" si="9"/>
        <v>2.0159375840301856</v>
      </c>
      <c r="J34" s="170">
        <f t="shared" si="9"/>
        <v>1.8139289993067558</v>
      </c>
      <c r="K34" s="173">
        <f t="shared" si="9"/>
        <v>1.9073623427135047</v>
      </c>
      <c r="L34" s="172">
        <f t="shared" si="9"/>
        <v>1.7461689515752297</v>
      </c>
      <c r="M34" s="170">
        <f t="shared" si="10"/>
        <v>1.4764424876509397</v>
      </c>
      <c r="N34" s="170">
        <f t="shared" si="10"/>
        <v>1.602678522259716</v>
      </c>
      <c r="O34" s="170">
        <f t="shared" si="10"/>
        <v>1.5970503427305951</v>
      </c>
      <c r="P34" s="173">
        <f t="shared" si="10"/>
        <v>1.20285007991996</v>
      </c>
      <c r="Q34" s="172">
        <f t="shared" si="10"/>
        <v>4.9777658230559441</v>
      </c>
      <c r="R34" s="170">
        <f t="shared" si="10"/>
        <v>4.4932209840475208</v>
      </c>
      <c r="S34" s="170">
        <f t="shared" si="10"/>
        <v>4.7169300427429137</v>
      </c>
      <c r="T34" s="170">
        <f t="shared" si="10"/>
        <v>4.7027953987009372</v>
      </c>
      <c r="U34" s="174">
        <f t="shared" si="10"/>
        <v>3.988124843809417</v>
      </c>
      <c r="V34" s="175">
        <f t="shared" si="10"/>
        <v>1.3778929979236036</v>
      </c>
      <c r="W34" s="170">
        <f t="shared" si="11"/>
        <v>1.5395514601070375</v>
      </c>
      <c r="X34" s="170">
        <f t="shared" si="11"/>
        <v>1.3540838723324347</v>
      </c>
      <c r="Y34" s="170">
        <f t="shared" si="11"/>
        <v>1.9719207501978719</v>
      </c>
      <c r="Z34" s="170">
        <f t="shared" si="11"/>
        <v>2.3220562793095416</v>
      </c>
      <c r="AA34" s="170">
        <f t="shared" si="11"/>
        <v>3.2794163482316567</v>
      </c>
      <c r="AB34" s="173">
        <f t="shared" si="11"/>
        <v>2.2995852508196322</v>
      </c>
      <c r="AC34" s="170">
        <f>IF(A34="","",COUNTIF('Vika 36'!$B$5:$V$20,A34)+
COUNTIF('Vika 37'!$B$5:$V$20,A34)+
COUNTIF('Vika 38'!$B$5:$V$20,A34)+
COUNTIF('Vika 39'!$B$5:$V$20,A34)+
COUNTIF('Vika 40'!$B$5:$V$20,A34)+
COUNTIF('Vika 41'!$B$5:$V$20,A34)+
COUNTIF('Vika 42'!$B$5:$V$20,A34)+
COUNTIF('Vika 43'!$B$5:$V$20,A34)+
COUNTIF('Vika 44'!$B$5:$V$20,A34)+
COUNTIF('Vika 45'!$B$5:$V$20,A34)+
COUNTIF('Vika 46'!$B$5:$V$20,A34)+
COUNTIF('Vika 47'!$B$5:$V$20,A34)+
COUNTIF('Vika 48'!$B$5:$V$20,A34)+
COUNTIF('Vika x5'!$B$5:$V$20,A34))</f>
        <v>1</v>
      </c>
      <c r="AD34" s="146">
        <f>AD31*AD33</f>
        <v>0.9</v>
      </c>
    </row>
    <row r="35" spans="1:32" x14ac:dyDescent="0.2">
      <c r="A35" s="155" t="s">
        <v>292</v>
      </c>
      <c r="B35" s="172">
        <v>2</v>
      </c>
      <c r="C35" s="170">
        <f t="shared" si="9"/>
        <v>1.6465522412234006</v>
      </c>
      <c r="D35" s="170">
        <f t="shared" si="9"/>
        <v>1.8070657705985191</v>
      </c>
      <c r="E35" s="170">
        <f t="shared" si="9"/>
        <v>1.7125776219736306</v>
      </c>
      <c r="F35" s="173">
        <f t="shared" si="9"/>
        <v>1.5460797510918218</v>
      </c>
      <c r="G35" s="172">
        <f t="shared" si="9"/>
        <v>2.2626688558114303</v>
      </c>
      <c r="H35" s="170">
        <f t="shared" si="9"/>
        <v>1.8179363016957926</v>
      </c>
      <c r="I35" s="170">
        <f t="shared" si="9"/>
        <v>2.0159375840301856</v>
      </c>
      <c r="J35" s="170">
        <f t="shared" si="9"/>
        <v>1.8139289993067558</v>
      </c>
      <c r="K35" s="173">
        <f t="shared" si="9"/>
        <v>1.9073623427135047</v>
      </c>
      <c r="L35" s="172">
        <f t="shared" si="9"/>
        <v>1.7461689515752297</v>
      </c>
      <c r="M35" s="170">
        <f t="shared" si="10"/>
        <v>1.4764424876509397</v>
      </c>
      <c r="N35" s="170">
        <f t="shared" si="10"/>
        <v>1.602678522259716</v>
      </c>
      <c r="O35" s="170">
        <f t="shared" si="10"/>
        <v>1.5970503427305951</v>
      </c>
      <c r="P35" s="173">
        <f t="shared" si="10"/>
        <v>1.20285007991996</v>
      </c>
      <c r="Q35" s="172">
        <f t="shared" si="10"/>
        <v>4.9777658230559441</v>
      </c>
      <c r="R35" s="170">
        <f t="shared" si="10"/>
        <v>4.4932209840475208</v>
      </c>
      <c r="S35" s="170">
        <f t="shared" si="10"/>
        <v>4.7169300427429137</v>
      </c>
      <c r="T35" s="170">
        <f t="shared" si="10"/>
        <v>4.7027953987009372</v>
      </c>
      <c r="U35" s="174">
        <f t="shared" si="10"/>
        <v>3.988124843809417</v>
      </c>
      <c r="V35" s="175">
        <f t="shared" si="10"/>
        <v>1.3778929979236036</v>
      </c>
      <c r="W35" s="170">
        <f t="shared" si="11"/>
        <v>1.5395514601070375</v>
      </c>
      <c r="X35" s="170">
        <f t="shared" si="11"/>
        <v>1.3540838723324347</v>
      </c>
      <c r="Y35" s="170">
        <f t="shared" si="11"/>
        <v>1.9719207501978719</v>
      </c>
      <c r="Z35" s="170">
        <f t="shared" si="11"/>
        <v>2.3220562793095416</v>
      </c>
      <c r="AA35" s="170">
        <f t="shared" si="11"/>
        <v>3.2794163482316567</v>
      </c>
      <c r="AB35" s="173">
        <f t="shared" si="11"/>
        <v>2.2995852508196322</v>
      </c>
      <c r="AC35" s="170">
        <f>IF(A35="","",COUNTIF('Vika 36'!$B$5:$V$20,A35)+
COUNTIF('Vika 37'!$B$5:$V$20,A35)+
COUNTIF('Vika 38'!$B$5:$V$20,A35)+
COUNTIF('Vika 39'!$B$5:$V$20,A35)+
COUNTIF('Vika 40'!$B$5:$V$20,A35)+
COUNTIF('Vika 41'!$B$5:$V$20,A35)+
COUNTIF('Vika 42'!$B$5:$V$20,A35)+
COUNTIF('Vika 43'!$B$5:$V$20,A35)+
COUNTIF('Vika 44'!$B$5:$V$20,A35)+
COUNTIF('Vika 45'!$B$5:$V$20,A35)+
COUNTIF('Vika 46'!$B$5:$V$20,A35)+
COUNTIF('Vika 47'!$B$5:$V$20,A35)+
COUNTIF('Vika 48'!$B$5:$V$20,A35)+
COUNTIF('Vika x5'!$B$5:$V$20,A35))</f>
        <v>1</v>
      </c>
      <c r="AD35" s="146">
        <f>AD33/AD34</f>
        <v>1.1111111111111112</v>
      </c>
    </row>
    <row r="36" spans="1:32" x14ac:dyDescent="0.2">
      <c r="A36" s="155" t="s">
        <v>316</v>
      </c>
      <c r="B36" s="172">
        <v>2</v>
      </c>
      <c r="C36" s="170">
        <f t="shared" si="9"/>
        <v>1.6465522412234006</v>
      </c>
      <c r="D36" s="170">
        <f t="shared" si="9"/>
        <v>1.8070657705985191</v>
      </c>
      <c r="E36" s="170">
        <f t="shared" si="9"/>
        <v>1.7125776219736306</v>
      </c>
      <c r="F36" s="173">
        <f t="shared" si="9"/>
        <v>1.5460797510918218</v>
      </c>
      <c r="G36" s="172">
        <f t="shared" si="9"/>
        <v>2.2626688558114303</v>
      </c>
      <c r="H36" s="170">
        <f t="shared" si="9"/>
        <v>1.8179363016957926</v>
      </c>
      <c r="I36" s="170">
        <f t="shared" si="9"/>
        <v>2.0159375840301856</v>
      </c>
      <c r="J36" s="170">
        <f t="shared" si="9"/>
        <v>1.8139289993067558</v>
      </c>
      <c r="K36" s="173">
        <f t="shared" si="9"/>
        <v>1.9073623427135047</v>
      </c>
      <c r="L36" s="172">
        <f t="shared" si="9"/>
        <v>1.7461689515752297</v>
      </c>
      <c r="M36" s="170">
        <f t="shared" si="10"/>
        <v>1.4764424876509397</v>
      </c>
      <c r="N36" s="170">
        <f t="shared" si="10"/>
        <v>1.602678522259716</v>
      </c>
      <c r="O36" s="170">
        <f t="shared" si="10"/>
        <v>1.5970503427305951</v>
      </c>
      <c r="P36" s="173">
        <f t="shared" si="10"/>
        <v>1.20285007991996</v>
      </c>
      <c r="Q36" s="172">
        <f t="shared" si="10"/>
        <v>4.9777658230559441</v>
      </c>
      <c r="R36" s="170">
        <f t="shared" si="10"/>
        <v>4.4932209840475208</v>
      </c>
      <c r="S36" s="170">
        <f t="shared" si="10"/>
        <v>4.7169300427429137</v>
      </c>
      <c r="T36" s="170">
        <f t="shared" si="10"/>
        <v>4.7027953987009372</v>
      </c>
      <c r="U36" s="174">
        <f t="shared" si="10"/>
        <v>3.988124843809417</v>
      </c>
      <c r="V36" s="175">
        <f t="shared" si="10"/>
        <v>1.3778929979236036</v>
      </c>
      <c r="W36" s="170">
        <f t="shared" si="11"/>
        <v>1.5395514601070375</v>
      </c>
      <c r="X36" s="170">
        <f t="shared" si="11"/>
        <v>1.3540838723324347</v>
      </c>
      <c r="Y36" s="170">
        <f t="shared" si="11"/>
        <v>1.9719207501978719</v>
      </c>
      <c r="Z36" s="170">
        <f t="shared" si="11"/>
        <v>2.3220562793095416</v>
      </c>
      <c r="AA36" s="170">
        <f t="shared" si="11"/>
        <v>3.2794163482316567</v>
      </c>
      <c r="AB36" s="173">
        <f t="shared" si="11"/>
        <v>2.2995852508196322</v>
      </c>
      <c r="AC36" s="170">
        <f>IF(A36="","",COUNTIF('Vika 36'!$B$5:$V$20,A36)+
COUNTIF('Vika 37'!$B$5:$V$20,A36)+
COUNTIF('Vika 38'!$B$5:$V$20,A36)+
COUNTIF('Vika 39'!$B$5:$V$20,A36)+
COUNTIF('Vika 40'!$B$5:$V$20,A36)+
COUNTIF('Vika 41'!$B$5:$V$20,A36)+
COUNTIF('Vika 42'!$B$5:$V$20,A36)+
COUNTIF('Vika 43'!$B$5:$V$20,A36)+
COUNTIF('Vika 44'!$B$5:$V$20,A36)+
COUNTIF('Vika 45'!$B$5:$V$20,A36)+
COUNTIF('Vika 46'!$B$5:$V$20,A36)+
COUNTIF('Vika 47'!$B$5:$V$20,A36)+
COUNTIF('Vika 48'!$B$5:$V$20,A36)+
COUNTIF('Vika x5'!$B$5:$V$20,A36))</f>
        <v>1</v>
      </c>
      <c r="AD36" s="157"/>
    </row>
    <row r="37" spans="1:32" x14ac:dyDescent="0.2">
      <c r="A37" s="155" t="s">
        <v>317</v>
      </c>
      <c r="B37" s="172">
        <v>2</v>
      </c>
      <c r="C37" s="170">
        <f t="shared" si="9"/>
        <v>1.6465522412234006</v>
      </c>
      <c r="D37" s="170">
        <f t="shared" si="9"/>
        <v>1.8070657705985191</v>
      </c>
      <c r="E37" s="170">
        <f t="shared" si="9"/>
        <v>1.7125776219736306</v>
      </c>
      <c r="F37" s="173">
        <f t="shared" si="9"/>
        <v>1.5460797510918218</v>
      </c>
      <c r="G37" s="172">
        <f t="shared" si="9"/>
        <v>2.2626688558114303</v>
      </c>
      <c r="H37" s="170">
        <f t="shared" si="9"/>
        <v>1.8179363016957926</v>
      </c>
      <c r="I37" s="170">
        <f t="shared" si="9"/>
        <v>2.0159375840301856</v>
      </c>
      <c r="J37" s="170">
        <f t="shared" si="9"/>
        <v>1.8139289993067558</v>
      </c>
      <c r="K37" s="173">
        <f t="shared" si="9"/>
        <v>1.9073623427135047</v>
      </c>
      <c r="L37" s="172">
        <f t="shared" si="9"/>
        <v>1.7461689515752297</v>
      </c>
      <c r="M37" s="170">
        <f t="shared" si="10"/>
        <v>1.4764424876509397</v>
      </c>
      <c r="N37" s="170">
        <f t="shared" si="10"/>
        <v>1.602678522259716</v>
      </c>
      <c r="O37" s="170">
        <f t="shared" si="10"/>
        <v>1.5970503427305951</v>
      </c>
      <c r="P37" s="173">
        <f t="shared" si="10"/>
        <v>1.20285007991996</v>
      </c>
      <c r="Q37" s="172">
        <f t="shared" si="10"/>
        <v>4.9777658230559441</v>
      </c>
      <c r="R37" s="170">
        <f t="shared" si="10"/>
        <v>4.4932209840475208</v>
      </c>
      <c r="S37" s="170">
        <f t="shared" si="10"/>
        <v>4.7169300427429137</v>
      </c>
      <c r="T37" s="170">
        <f t="shared" si="10"/>
        <v>4.7027953987009372</v>
      </c>
      <c r="U37" s="174">
        <f t="shared" si="10"/>
        <v>3.988124843809417</v>
      </c>
      <c r="V37" s="175">
        <f t="shared" si="10"/>
        <v>1.3778929979236036</v>
      </c>
      <c r="W37" s="170">
        <f t="shared" si="11"/>
        <v>1.5395514601070375</v>
      </c>
      <c r="X37" s="170">
        <f t="shared" si="11"/>
        <v>1.3540838723324347</v>
      </c>
      <c r="Y37" s="170">
        <f t="shared" si="11"/>
        <v>1.9719207501978719</v>
      </c>
      <c r="Z37" s="170">
        <f t="shared" si="11"/>
        <v>2.3220562793095416</v>
      </c>
      <c r="AA37" s="170">
        <f t="shared" si="11"/>
        <v>3.2794163482316567</v>
      </c>
      <c r="AB37" s="173">
        <f t="shared" si="11"/>
        <v>2.2995852508196322</v>
      </c>
      <c r="AC37" s="170">
        <f>IF(A37="","",COUNTIF('Vika 36'!$B$5:$V$20,A37)+
COUNTIF('Vika 37'!$B$5:$V$20,A37)+
COUNTIF('Vika 38'!$B$5:$V$20,A37)+
COUNTIF('Vika 39'!$B$5:$V$20,A37)+
COUNTIF('Vika 40'!$B$5:$V$20,A37)+
COUNTIF('Vika 41'!$B$5:$V$20,A37)+
COUNTIF('Vika 42'!$B$5:$V$20,A37)+
COUNTIF('Vika 43'!$B$5:$V$20,A37)+
COUNTIF('Vika 44'!$B$5:$V$20,A37)+
COUNTIF('Vika 45'!$B$5:$V$20,A37)+
COUNTIF('Vika 46'!$B$5:$V$20,A37)+
COUNTIF('Vika 47'!$B$5:$V$20,A37)+
COUNTIF('Vika 48'!$B$5:$V$20,A37)+
COUNTIF('Vika x5'!$B$5:$V$20,A37))</f>
        <v>1</v>
      </c>
      <c r="AD37" s="162" t="s">
        <v>121</v>
      </c>
      <c r="AE37" s="146">
        <v>2</v>
      </c>
      <c r="AF37" s="146">
        <v>4</v>
      </c>
    </row>
    <row r="38" spans="1:32" x14ac:dyDescent="0.2">
      <c r="A38" s="155" t="s">
        <v>318</v>
      </c>
      <c r="B38" s="172">
        <v>2</v>
      </c>
      <c r="C38" s="170">
        <f t="shared" si="9"/>
        <v>1.6465522412234006</v>
      </c>
      <c r="D38" s="170">
        <f t="shared" si="9"/>
        <v>1.8070657705985191</v>
      </c>
      <c r="E38" s="170">
        <f t="shared" si="9"/>
        <v>1.7125776219736306</v>
      </c>
      <c r="F38" s="173">
        <f t="shared" si="9"/>
        <v>1.5460797510918218</v>
      </c>
      <c r="G38" s="172">
        <f t="shared" si="9"/>
        <v>2.2626688558114303</v>
      </c>
      <c r="H38" s="170">
        <f t="shared" si="9"/>
        <v>1.8179363016957926</v>
      </c>
      <c r="I38" s="170">
        <f t="shared" si="9"/>
        <v>2.0159375840301856</v>
      </c>
      <c r="J38" s="170">
        <f t="shared" si="9"/>
        <v>1.8139289993067558</v>
      </c>
      <c r="K38" s="173">
        <f t="shared" si="9"/>
        <v>1.9073623427135047</v>
      </c>
      <c r="L38" s="172">
        <f t="shared" si="9"/>
        <v>1.7461689515752297</v>
      </c>
      <c r="M38" s="170">
        <f t="shared" si="10"/>
        <v>1.4764424876509397</v>
      </c>
      <c r="N38" s="170">
        <f t="shared" si="10"/>
        <v>1.602678522259716</v>
      </c>
      <c r="O38" s="170">
        <f t="shared" si="10"/>
        <v>1.5970503427305951</v>
      </c>
      <c r="P38" s="173">
        <f t="shared" si="10"/>
        <v>1.20285007991996</v>
      </c>
      <c r="Q38" s="172">
        <f t="shared" si="10"/>
        <v>4.9777658230559441</v>
      </c>
      <c r="R38" s="170">
        <f t="shared" si="10"/>
        <v>4.4932209840475208</v>
      </c>
      <c r="S38" s="170">
        <f t="shared" si="10"/>
        <v>4.7169300427429137</v>
      </c>
      <c r="T38" s="170">
        <f t="shared" si="10"/>
        <v>4.7027953987009372</v>
      </c>
      <c r="U38" s="174">
        <f t="shared" si="10"/>
        <v>3.988124843809417</v>
      </c>
      <c r="V38" s="175">
        <f t="shared" si="10"/>
        <v>1.3778929979236036</v>
      </c>
      <c r="W38" s="170">
        <f t="shared" si="11"/>
        <v>1.5395514601070375</v>
      </c>
      <c r="X38" s="170">
        <f t="shared" si="11"/>
        <v>1.3540838723324347</v>
      </c>
      <c r="Y38" s="170">
        <f t="shared" si="11"/>
        <v>1.9719207501978719</v>
      </c>
      <c r="Z38" s="170">
        <f t="shared" si="11"/>
        <v>2.3220562793095416</v>
      </c>
      <c r="AA38" s="170">
        <f t="shared" si="11"/>
        <v>3.2794163482316567</v>
      </c>
      <c r="AB38" s="173">
        <f t="shared" si="11"/>
        <v>2.2995852508196322</v>
      </c>
      <c r="AC38" s="170">
        <f>IF(A38="","",COUNTIF('Vika 36'!$B$5:$V$20,A38)+
COUNTIF('Vika 37'!$B$5:$V$20,A38)+
COUNTIF('Vika 38'!$B$5:$V$20,A38)+
COUNTIF('Vika 39'!$B$5:$V$20,A38)+
COUNTIF('Vika 40'!$B$5:$V$20,A38)+
COUNTIF('Vika 41'!$B$5:$V$20,A38)+
COUNTIF('Vika 42'!$B$5:$V$20,A38)+
COUNTIF('Vika 43'!$B$5:$V$20,A38)+
COUNTIF('Vika 44'!$B$5:$V$20,A38)+
COUNTIF('Vika 45'!$B$5:$V$20,A38)+
COUNTIF('Vika 46'!$B$5:$V$20,A38)+
COUNTIF('Vika 47'!$B$5:$V$20,A38)+
COUNTIF('Vika 48'!$B$5:$V$20,A38)+
COUNTIF('Vika x5'!$B$5:$V$20,A38))</f>
        <v>1</v>
      </c>
      <c r="AD38" s="163" t="s">
        <v>122</v>
      </c>
      <c r="AE38" s="146">
        <v>3</v>
      </c>
      <c r="AF38" s="146">
        <v>5</v>
      </c>
    </row>
    <row r="39" spans="1:32" x14ac:dyDescent="0.2">
      <c r="A39" s="155" t="s">
        <v>249</v>
      </c>
      <c r="B39" s="172">
        <v>2</v>
      </c>
      <c r="C39" s="170">
        <f t="shared" si="9"/>
        <v>1.6465522412234006</v>
      </c>
      <c r="D39" s="170">
        <f t="shared" si="9"/>
        <v>1.8070657705985191</v>
      </c>
      <c r="E39" s="170">
        <f t="shared" si="9"/>
        <v>1.7125776219736306</v>
      </c>
      <c r="F39" s="173">
        <f t="shared" si="9"/>
        <v>1.5460797510918218</v>
      </c>
      <c r="G39" s="172">
        <f t="shared" si="9"/>
        <v>2.2626688558114303</v>
      </c>
      <c r="H39" s="170">
        <f t="shared" si="9"/>
        <v>1.8179363016957926</v>
      </c>
      <c r="I39" s="170">
        <f t="shared" si="9"/>
        <v>2.0159375840301856</v>
      </c>
      <c r="J39" s="170">
        <f t="shared" si="9"/>
        <v>1.8139289993067558</v>
      </c>
      <c r="K39" s="173">
        <f t="shared" si="9"/>
        <v>1.9073623427135047</v>
      </c>
      <c r="L39" s="172">
        <f t="shared" si="9"/>
        <v>1.7461689515752297</v>
      </c>
      <c r="M39" s="170">
        <f t="shared" si="10"/>
        <v>1.4764424876509397</v>
      </c>
      <c r="N39" s="170">
        <f t="shared" si="10"/>
        <v>1.602678522259716</v>
      </c>
      <c r="O39" s="170">
        <f t="shared" si="10"/>
        <v>1.5970503427305951</v>
      </c>
      <c r="P39" s="173">
        <f t="shared" si="10"/>
        <v>1.20285007991996</v>
      </c>
      <c r="Q39" s="172">
        <f t="shared" si="10"/>
        <v>4.9777658230559441</v>
      </c>
      <c r="R39" s="170">
        <f t="shared" si="10"/>
        <v>4.4932209840475208</v>
      </c>
      <c r="S39" s="170">
        <f t="shared" si="10"/>
        <v>4.7169300427429137</v>
      </c>
      <c r="T39" s="170">
        <f t="shared" si="10"/>
        <v>4.7027953987009372</v>
      </c>
      <c r="U39" s="174">
        <f t="shared" si="10"/>
        <v>3.988124843809417</v>
      </c>
      <c r="V39" s="175">
        <f t="shared" si="10"/>
        <v>1.3778929979236036</v>
      </c>
      <c r="W39" s="170">
        <f t="shared" si="11"/>
        <v>1.5395514601070375</v>
      </c>
      <c r="X39" s="170">
        <f t="shared" si="11"/>
        <v>1.3540838723324347</v>
      </c>
      <c r="Y39" s="170">
        <f t="shared" si="11"/>
        <v>1.9719207501978719</v>
      </c>
      <c r="Z39" s="170">
        <f t="shared" si="11"/>
        <v>2.3220562793095416</v>
      </c>
      <c r="AA39" s="170">
        <f t="shared" si="11"/>
        <v>3.2794163482316567</v>
      </c>
      <c r="AB39" s="173">
        <f t="shared" si="11"/>
        <v>2.2995852508196322</v>
      </c>
      <c r="AC39" s="170">
        <f>IF(A39="","",COUNTIF('Vika 36'!$B$5:$V$20,A39)+
COUNTIF('Vika 37'!$B$5:$V$20,A39)+
COUNTIF('Vika 38'!$B$5:$V$20,A39)+
COUNTIF('Vika 39'!$B$5:$V$20,A39)+
COUNTIF('Vika 40'!$B$5:$V$20,A39)+
COUNTIF('Vika 41'!$B$5:$V$20,A39)+
COUNTIF('Vika 42'!$B$5:$V$20,A39)+
COUNTIF('Vika 43'!$B$5:$V$20,A39)+
COUNTIF('Vika 44'!$B$5:$V$20,A39)+
COUNTIF('Vika 45'!$B$5:$V$20,A39)+
COUNTIF('Vika 46'!$B$5:$V$20,A39)+
COUNTIF('Vika 47'!$B$5:$V$20,A39)+
COUNTIF('Vika 48'!$B$5:$V$20,A39)+
COUNTIF('Vika x5'!$B$5:$V$20,A39))</f>
        <v>1</v>
      </c>
      <c r="AD39" s="163" t="s">
        <v>123</v>
      </c>
      <c r="AE39" s="146">
        <v>4</v>
      </c>
      <c r="AF39" s="146">
        <v>6</v>
      </c>
    </row>
    <row r="40" spans="1:32" x14ac:dyDescent="0.2">
      <c r="A40" s="155" t="s">
        <v>244</v>
      </c>
      <c r="B40" s="172">
        <v>2</v>
      </c>
      <c r="C40" s="170">
        <f t="shared" si="9"/>
        <v>1.6465522412234006</v>
      </c>
      <c r="D40" s="170">
        <f t="shared" si="9"/>
        <v>1.8070657705985191</v>
      </c>
      <c r="E40" s="170">
        <f t="shared" si="9"/>
        <v>1.7125776219736306</v>
      </c>
      <c r="F40" s="173">
        <f t="shared" si="9"/>
        <v>1.5460797510918218</v>
      </c>
      <c r="G40" s="172">
        <f t="shared" si="9"/>
        <v>2.2626688558114303</v>
      </c>
      <c r="H40" s="170">
        <f t="shared" si="9"/>
        <v>1.8179363016957926</v>
      </c>
      <c r="I40" s="170">
        <f t="shared" si="9"/>
        <v>2.0159375840301856</v>
      </c>
      <c r="J40" s="170">
        <f t="shared" si="9"/>
        <v>1.8139289993067558</v>
      </c>
      <c r="K40" s="173">
        <f t="shared" si="9"/>
        <v>1.9073623427135047</v>
      </c>
      <c r="L40" s="172">
        <f t="shared" si="9"/>
        <v>1.7461689515752297</v>
      </c>
      <c r="M40" s="170">
        <f t="shared" si="10"/>
        <v>1.4764424876509397</v>
      </c>
      <c r="N40" s="170">
        <f t="shared" si="10"/>
        <v>1.602678522259716</v>
      </c>
      <c r="O40" s="170">
        <f t="shared" si="10"/>
        <v>1.5970503427305951</v>
      </c>
      <c r="P40" s="173">
        <f t="shared" si="10"/>
        <v>1.20285007991996</v>
      </c>
      <c r="Q40" s="172">
        <f t="shared" si="10"/>
        <v>4.9777658230559441</v>
      </c>
      <c r="R40" s="170">
        <f t="shared" si="10"/>
        <v>4.4932209840475208</v>
      </c>
      <c r="S40" s="170">
        <f t="shared" si="10"/>
        <v>4.7169300427429137</v>
      </c>
      <c r="T40" s="170">
        <f t="shared" si="10"/>
        <v>4.7027953987009372</v>
      </c>
      <c r="U40" s="174">
        <f t="shared" si="10"/>
        <v>3.988124843809417</v>
      </c>
      <c r="V40" s="175">
        <f t="shared" si="10"/>
        <v>1.3778929979236036</v>
      </c>
      <c r="W40" s="170">
        <f t="shared" si="11"/>
        <v>1.5395514601070375</v>
      </c>
      <c r="X40" s="170">
        <f t="shared" si="11"/>
        <v>1.3540838723324347</v>
      </c>
      <c r="Y40" s="170">
        <f t="shared" si="11"/>
        <v>1.9719207501978719</v>
      </c>
      <c r="Z40" s="170">
        <f t="shared" si="11"/>
        <v>2.3220562793095416</v>
      </c>
      <c r="AA40" s="170">
        <f t="shared" si="11"/>
        <v>3.2794163482316567</v>
      </c>
      <c r="AB40" s="173">
        <f t="shared" si="11"/>
        <v>2.2995852508196322</v>
      </c>
      <c r="AC40" s="170">
        <f>IF(A40="","",COUNTIF('Vika 36'!$B$5:$V$20,A40)+
COUNTIF('Vika 37'!$B$5:$V$20,A40)+
COUNTIF('Vika 38'!$B$5:$V$20,A40)+
COUNTIF('Vika 39'!$B$5:$V$20,A40)+
COUNTIF('Vika 40'!$B$5:$V$20,A40)+
COUNTIF('Vika 41'!$B$5:$V$20,A40)+
COUNTIF('Vika 42'!$B$5:$V$20,A40)+
COUNTIF('Vika 43'!$B$5:$V$20,A40)+
COUNTIF('Vika 44'!$B$5:$V$20,A40)+
COUNTIF('Vika 45'!$B$5:$V$20,A40)+
COUNTIF('Vika 46'!$B$5:$V$20,A40)+
COUNTIF('Vika 47'!$B$5:$V$20,A40)+
COUNTIF('Vika 48'!$B$5:$V$20,A40)+
COUNTIF('Vika x5'!$B$5:$V$20,A40))</f>
        <v>1</v>
      </c>
      <c r="AD40" s="163" t="s">
        <v>124</v>
      </c>
      <c r="AE40" s="146">
        <v>5</v>
      </c>
      <c r="AF40" s="146">
        <v>7</v>
      </c>
    </row>
    <row r="41" spans="1:32" x14ac:dyDescent="0.2">
      <c r="A41" s="155" t="s">
        <v>311</v>
      </c>
      <c r="B41" s="172">
        <v>2</v>
      </c>
      <c r="C41" s="170">
        <f t="shared" si="9"/>
        <v>1.6465522412234006</v>
      </c>
      <c r="D41" s="170">
        <f t="shared" si="9"/>
        <v>1.8070657705985191</v>
      </c>
      <c r="E41" s="170">
        <f t="shared" si="9"/>
        <v>1.7125776219736306</v>
      </c>
      <c r="F41" s="173">
        <f t="shared" si="9"/>
        <v>1.5460797510918218</v>
      </c>
      <c r="G41" s="172">
        <f t="shared" si="9"/>
        <v>2.2626688558114303</v>
      </c>
      <c r="H41" s="170">
        <f t="shared" si="9"/>
        <v>1.8179363016957926</v>
      </c>
      <c r="I41" s="170">
        <f t="shared" si="9"/>
        <v>2.0159375840301856</v>
      </c>
      <c r="J41" s="170">
        <f t="shared" si="9"/>
        <v>1.8139289993067558</v>
      </c>
      <c r="K41" s="173">
        <f t="shared" si="9"/>
        <v>1.9073623427135047</v>
      </c>
      <c r="L41" s="172">
        <f t="shared" si="9"/>
        <v>1.7461689515752297</v>
      </c>
      <c r="M41" s="170">
        <f t="shared" si="10"/>
        <v>1.4764424876509397</v>
      </c>
      <c r="N41" s="170">
        <f t="shared" si="10"/>
        <v>1.602678522259716</v>
      </c>
      <c r="O41" s="170">
        <f t="shared" si="10"/>
        <v>1.5970503427305951</v>
      </c>
      <c r="P41" s="173">
        <f t="shared" si="10"/>
        <v>1.20285007991996</v>
      </c>
      <c r="Q41" s="172">
        <f t="shared" si="10"/>
        <v>4.9777658230559441</v>
      </c>
      <c r="R41" s="170">
        <f t="shared" si="10"/>
        <v>4.4932209840475208</v>
      </c>
      <c r="S41" s="170">
        <f t="shared" si="10"/>
        <v>4.7169300427429137</v>
      </c>
      <c r="T41" s="170">
        <f t="shared" si="10"/>
        <v>4.7027953987009372</v>
      </c>
      <c r="U41" s="174">
        <f t="shared" si="10"/>
        <v>3.988124843809417</v>
      </c>
      <c r="V41" s="175">
        <f t="shared" si="10"/>
        <v>1.3778929979236036</v>
      </c>
      <c r="W41" s="170">
        <f t="shared" si="11"/>
        <v>1.5395514601070375</v>
      </c>
      <c r="X41" s="170">
        <f t="shared" si="11"/>
        <v>1.3540838723324347</v>
      </c>
      <c r="Y41" s="170">
        <f t="shared" si="11"/>
        <v>1.9719207501978719</v>
      </c>
      <c r="Z41" s="170">
        <f t="shared" si="11"/>
        <v>2.3220562793095416</v>
      </c>
      <c r="AA41" s="170">
        <f t="shared" si="11"/>
        <v>3.2794163482316567</v>
      </c>
      <c r="AB41" s="173">
        <f t="shared" si="11"/>
        <v>2.2995852508196322</v>
      </c>
      <c r="AC41" s="170">
        <f>IF(A41="","",COUNTIF('Vika 36'!$B$5:$V$20,A41)+
COUNTIF('Vika 37'!$B$5:$V$20,A41)+
COUNTIF('Vika 38'!$B$5:$V$20,A41)+
COUNTIF('Vika 39'!$B$5:$V$20,A41)+
COUNTIF('Vika 40'!$B$5:$V$20,A41)+
COUNTIF('Vika 41'!$B$5:$V$20,A41)+
COUNTIF('Vika 42'!$B$5:$V$20,A41)+
COUNTIF('Vika 43'!$B$5:$V$20,A41)+
COUNTIF('Vika 44'!$B$5:$V$20,A41)+
COUNTIF('Vika 45'!$B$5:$V$20,A41)+
COUNTIF('Vika 46'!$B$5:$V$20,A41)+
COUNTIF('Vika 47'!$B$5:$V$20,A41)+
COUNTIF('Vika 48'!$B$5:$V$20,A41)+
COUNTIF('Vika x5'!$B$5:$V$20,A41))</f>
        <v>1</v>
      </c>
      <c r="AD41" s="163" t="s">
        <v>125</v>
      </c>
      <c r="AE41" s="146">
        <v>6</v>
      </c>
      <c r="AF41" s="146">
        <v>8</v>
      </c>
    </row>
    <row r="42" spans="1:32" x14ac:dyDescent="0.2">
      <c r="A42" s="155" t="s">
        <v>35</v>
      </c>
      <c r="B42" s="172">
        <v>1</v>
      </c>
      <c r="C42" s="170">
        <f t="shared" si="9"/>
        <v>0.8232761206117003</v>
      </c>
      <c r="D42" s="170">
        <f t="shared" si="9"/>
        <v>0.90353288529925957</v>
      </c>
      <c r="E42" s="170">
        <f t="shared" si="9"/>
        <v>0.85628881098681531</v>
      </c>
      <c r="F42" s="173">
        <f t="shared" si="9"/>
        <v>0.77303987554591092</v>
      </c>
      <c r="G42" s="172">
        <f t="shared" si="9"/>
        <v>1.1313344279057151</v>
      </c>
      <c r="H42" s="170">
        <f t="shared" si="9"/>
        <v>0.90896815084789628</v>
      </c>
      <c r="I42" s="170">
        <f t="shared" si="9"/>
        <v>1.0079687920150928</v>
      </c>
      <c r="J42" s="170">
        <f t="shared" si="9"/>
        <v>0.90696449965337789</v>
      </c>
      <c r="K42" s="173">
        <f t="shared" si="9"/>
        <v>0.95368117135675234</v>
      </c>
      <c r="L42" s="172">
        <f t="shared" si="9"/>
        <v>0.87308447578761483</v>
      </c>
      <c r="M42" s="170">
        <f t="shared" si="10"/>
        <v>0.73822124382546983</v>
      </c>
      <c r="N42" s="170">
        <f t="shared" si="10"/>
        <v>0.80133926112985798</v>
      </c>
      <c r="O42" s="170">
        <f t="shared" si="10"/>
        <v>0.79852517136529755</v>
      </c>
      <c r="P42" s="173">
        <f t="shared" si="10"/>
        <v>0.60142503995997998</v>
      </c>
      <c r="Q42" s="172">
        <f t="shared" si="10"/>
        <v>2.488882911527972</v>
      </c>
      <c r="R42" s="170">
        <f t="shared" si="10"/>
        <v>2.2466104920237604</v>
      </c>
      <c r="S42" s="170">
        <f t="shared" si="10"/>
        <v>2.3584650213714569</v>
      </c>
      <c r="T42" s="170">
        <f t="shared" si="10"/>
        <v>2.3513976993504686</v>
      </c>
      <c r="U42" s="174">
        <f t="shared" si="10"/>
        <v>1.9940624219047085</v>
      </c>
      <c r="V42" s="175">
        <f t="shared" si="10"/>
        <v>0.68894649896180182</v>
      </c>
      <c r="W42" s="170">
        <f t="shared" si="11"/>
        <v>0.76977573005351874</v>
      </c>
      <c r="X42" s="170">
        <f t="shared" si="11"/>
        <v>0.67704193616621733</v>
      </c>
      <c r="Y42" s="170">
        <f t="shared" si="11"/>
        <v>0.98596037509893597</v>
      </c>
      <c r="Z42" s="170">
        <f t="shared" si="11"/>
        <v>1.1610281396547708</v>
      </c>
      <c r="AA42" s="170">
        <f t="shared" si="11"/>
        <v>1.6397081741158284</v>
      </c>
      <c r="AB42" s="173">
        <f t="shared" si="11"/>
        <v>1.1497926254098161</v>
      </c>
      <c r="AC42" s="170">
        <f>IF(A42="","",COUNTIF('Vika 36'!$B$5:$V$20,A42)+
COUNTIF('Vika 37'!$B$5:$V$20,A42)+
COUNTIF('Vika 38'!$B$5:$V$20,A42)+
COUNTIF('Vika 39'!$B$5:$V$20,A42)+
COUNTIF('Vika 40'!$B$5:$V$20,A42)+
COUNTIF('Vika 41'!$B$5:$V$20,A42)+
COUNTIF('Vika 42'!$B$5:$V$20,A42)+
COUNTIF('Vika 43'!$B$5:$V$20,A42)+
COUNTIF('Vika 44'!$B$5:$V$20,A42)+
COUNTIF('Vika 45'!$B$5:$V$20,A42)+
COUNTIF('Vika 46'!$B$5:$V$20,A42)+
COUNTIF('Vika 47'!$B$5:$V$20,A42)+
COUNTIF('Vika 48'!$B$5:$V$20,A42)+
COUNTIF('Vika x5'!$B$5:$V$20,A42))</f>
        <v>63</v>
      </c>
      <c r="AD42" s="163" t="s">
        <v>126</v>
      </c>
      <c r="AE42" s="146">
        <v>7</v>
      </c>
      <c r="AF42" s="146">
        <v>9</v>
      </c>
    </row>
    <row r="43" spans="1:32" x14ac:dyDescent="0.2">
      <c r="A43" s="155" t="s">
        <v>226</v>
      </c>
      <c r="B43" s="172">
        <v>2</v>
      </c>
      <c r="C43" s="170">
        <f t="shared" ref="C43:L52" si="12">IF(OR($B43="-",$B43=""),"-",$B43*C$203)</f>
        <v>1.6465522412234006</v>
      </c>
      <c r="D43" s="170">
        <f t="shared" si="12"/>
        <v>1.8070657705985191</v>
      </c>
      <c r="E43" s="170">
        <f t="shared" si="12"/>
        <v>1.7125776219736306</v>
      </c>
      <c r="F43" s="173">
        <f t="shared" si="12"/>
        <v>1.5460797510918218</v>
      </c>
      <c r="G43" s="172">
        <f t="shared" si="12"/>
        <v>2.2626688558114303</v>
      </c>
      <c r="H43" s="170">
        <f t="shared" si="12"/>
        <v>1.8179363016957926</v>
      </c>
      <c r="I43" s="170">
        <f t="shared" si="12"/>
        <v>2.0159375840301856</v>
      </c>
      <c r="J43" s="170">
        <f t="shared" si="12"/>
        <v>1.8139289993067558</v>
      </c>
      <c r="K43" s="173">
        <f t="shared" si="12"/>
        <v>1.9073623427135047</v>
      </c>
      <c r="L43" s="172">
        <f t="shared" si="12"/>
        <v>1.7461689515752297</v>
      </c>
      <c r="M43" s="170">
        <f t="shared" ref="M43:V52" si="13">IF(OR($B43="-",$B43=""),"-",$B43*M$203)</f>
        <v>1.4764424876509397</v>
      </c>
      <c r="N43" s="170">
        <f t="shared" si="13"/>
        <v>1.602678522259716</v>
      </c>
      <c r="O43" s="170">
        <f t="shared" si="13"/>
        <v>1.5970503427305951</v>
      </c>
      <c r="P43" s="173">
        <f t="shared" si="13"/>
        <v>1.20285007991996</v>
      </c>
      <c r="Q43" s="172">
        <f t="shared" si="13"/>
        <v>4.9777658230559441</v>
      </c>
      <c r="R43" s="170">
        <f t="shared" si="13"/>
        <v>4.4932209840475208</v>
      </c>
      <c r="S43" s="170">
        <f t="shared" si="13"/>
        <v>4.7169300427429137</v>
      </c>
      <c r="T43" s="170">
        <f t="shared" si="13"/>
        <v>4.7027953987009372</v>
      </c>
      <c r="U43" s="174">
        <f t="shared" si="13"/>
        <v>3.988124843809417</v>
      </c>
      <c r="V43" s="175">
        <f t="shared" si="13"/>
        <v>1.3778929979236036</v>
      </c>
      <c r="W43" s="170">
        <f t="shared" ref="W43:AB52" si="14">IF(OR($B43="-",$B43=""),"-",$B43*W$203)</f>
        <v>1.5395514601070375</v>
      </c>
      <c r="X43" s="170">
        <f t="shared" si="14"/>
        <v>1.3540838723324347</v>
      </c>
      <c r="Y43" s="170">
        <f t="shared" si="14"/>
        <v>1.9719207501978719</v>
      </c>
      <c r="Z43" s="170">
        <f t="shared" si="14"/>
        <v>2.3220562793095416</v>
      </c>
      <c r="AA43" s="170">
        <f t="shared" si="14"/>
        <v>3.2794163482316567</v>
      </c>
      <c r="AB43" s="173">
        <f t="shared" si="14"/>
        <v>2.2995852508196322</v>
      </c>
      <c r="AC43" s="170">
        <f>IF(A43="","",COUNTIF('Vika 36'!$B$5:$V$20,A43)+
COUNTIF('Vika 37'!$B$5:$V$20,A43)+
COUNTIF('Vika 38'!$B$5:$V$20,A43)+
COUNTIF('Vika 39'!$B$5:$V$20,A43)+
COUNTIF('Vika 40'!$B$5:$V$20,A43)+
COUNTIF('Vika 41'!$B$5:$V$20,A43)+
COUNTIF('Vika 42'!$B$5:$V$20,A43)+
COUNTIF('Vika 43'!$B$5:$V$20,A43)+
COUNTIF('Vika 44'!$B$5:$V$20,A43)+
COUNTIF('Vika 45'!$B$5:$V$20,A43)+
COUNTIF('Vika 46'!$B$5:$V$20,A43)+
COUNTIF('Vika 47'!$B$5:$V$20,A43)+
COUNTIF('Vika 48'!$B$5:$V$20,A43)+
COUNTIF('Vika x5'!$B$5:$V$20,A43))</f>
        <v>9</v>
      </c>
      <c r="AD43" s="162" t="s">
        <v>127</v>
      </c>
      <c r="AE43" s="146">
        <v>8</v>
      </c>
      <c r="AF43" s="146">
        <v>10</v>
      </c>
    </row>
    <row r="44" spans="1:32" x14ac:dyDescent="0.2">
      <c r="A44" s="155" t="s">
        <v>189</v>
      </c>
      <c r="B44" s="172">
        <v>2</v>
      </c>
      <c r="C44" s="170">
        <f t="shared" si="12"/>
        <v>1.6465522412234006</v>
      </c>
      <c r="D44" s="170">
        <f t="shared" si="12"/>
        <v>1.8070657705985191</v>
      </c>
      <c r="E44" s="170">
        <f t="shared" si="12"/>
        <v>1.7125776219736306</v>
      </c>
      <c r="F44" s="173">
        <f t="shared" si="12"/>
        <v>1.5460797510918218</v>
      </c>
      <c r="G44" s="172">
        <f t="shared" si="12"/>
        <v>2.2626688558114303</v>
      </c>
      <c r="H44" s="170">
        <f t="shared" si="12"/>
        <v>1.8179363016957926</v>
      </c>
      <c r="I44" s="170">
        <f t="shared" si="12"/>
        <v>2.0159375840301856</v>
      </c>
      <c r="J44" s="170">
        <f t="shared" si="12"/>
        <v>1.8139289993067558</v>
      </c>
      <c r="K44" s="173">
        <f t="shared" si="12"/>
        <v>1.9073623427135047</v>
      </c>
      <c r="L44" s="172">
        <f t="shared" si="12"/>
        <v>1.7461689515752297</v>
      </c>
      <c r="M44" s="170">
        <f t="shared" si="13"/>
        <v>1.4764424876509397</v>
      </c>
      <c r="N44" s="170">
        <f t="shared" si="13"/>
        <v>1.602678522259716</v>
      </c>
      <c r="O44" s="170">
        <f t="shared" si="13"/>
        <v>1.5970503427305951</v>
      </c>
      <c r="P44" s="173">
        <f t="shared" si="13"/>
        <v>1.20285007991996</v>
      </c>
      <c r="Q44" s="172">
        <f t="shared" si="13"/>
        <v>4.9777658230559441</v>
      </c>
      <c r="R44" s="170">
        <f t="shared" si="13"/>
        <v>4.4932209840475208</v>
      </c>
      <c r="S44" s="170">
        <f t="shared" si="13"/>
        <v>4.7169300427429137</v>
      </c>
      <c r="T44" s="170">
        <f t="shared" si="13"/>
        <v>4.7027953987009372</v>
      </c>
      <c r="U44" s="174">
        <f t="shared" si="13"/>
        <v>3.988124843809417</v>
      </c>
      <c r="V44" s="175">
        <f t="shared" si="13"/>
        <v>1.3778929979236036</v>
      </c>
      <c r="W44" s="170">
        <f t="shared" si="14"/>
        <v>1.5395514601070375</v>
      </c>
      <c r="X44" s="170">
        <f t="shared" si="14"/>
        <v>1.3540838723324347</v>
      </c>
      <c r="Y44" s="170">
        <f t="shared" si="14"/>
        <v>1.9719207501978719</v>
      </c>
      <c r="Z44" s="170">
        <f t="shared" si="14"/>
        <v>2.3220562793095416</v>
      </c>
      <c r="AA44" s="170">
        <f t="shared" si="14"/>
        <v>3.2794163482316567</v>
      </c>
      <c r="AB44" s="173">
        <f t="shared" si="14"/>
        <v>2.2995852508196322</v>
      </c>
      <c r="AC44" s="170">
        <f>IF(A44="","",COUNTIF('Vika 36'!$B$5:$V$20,A44)+
COUNTIF('Vika 37'!$B$5:$V$20,A44)+
COUNTIF('Vika 38'!$B$5:$V$20,A44)+
COUNTIF('Vika 39'!$B$5:$V$20,A44)+
COUNTIF('Vika 40'!$B$5:$V$20,A44)+
COUNTIF('Vika 41'!$B$5:$V$20,A44)+
COUNTIF('Vika 42'!$B$5:$V$20,A44)+
COUNTIF('Vika 43'!$B$5:$V$20,A44)+
COUNTIF('Vika 44'!$B$5:$V$20,A44)+
COUNTIF('Vika 45'!$B$5:$V$20,A44)+
COUNTIF('Vika 46'!$B$5:$V$20,A44)+
COUNTIF('Vika 47'!$B$5:$V$20,A44)+
COUNTIF('Vika 48'!$B$5:$V$20,A44)+
COUNTIF('Vika x5'!$B$5:$V$20,A44))</f>
        <v>6</v>
      </c>
      <c r="AD44" s="163" t="s">
        <v>128</v>
      </c>
      <c r="AE44" s="146">
        <v>9</v>
      </c>
      <c r="AF44" s="146">
        <v>11</v>
      </c>
    </row>
    <row r="45" spans="1:32" x14ac:dyDescent="0.2">
      <c r="A45" s="155" t="s">
        <v>175</v>
      </c>
      <c r="B45" s="172">
        <v>2</v>
      </c>
      <c r="C45" s="170">
        <f t="shared" si="12"/>
        <v>1.6465522412234006</v>
      </c>
      <c r="D45" s="170">
        <f t="shared" si="12"/>
        <v>1.8070657705985191</v>
      </c>
      <c r="E45" s="170">
        <f t="shared" si="12"/>
        <v>1.7125776219736306</v>
      </c>
      <c r="F45" s="173">
        <f t="shared" si="12"/>
        <v>1.5460797510918218</v>
      </c>
      <c r="G45" s="172">
        <f t="shared" si="12"/>
        <v>2.2626688558114303</v>
      </c>
      <c r="H45" s="170">
        <f t="shared" si="12"/>
        <v>1.8179363016957926</v>
      </c>
      <c r="I45" s="170">
        <f t="shared" si="12"/>
        <v>2.0159375840301856</v>
      </c>
      <c r="J45" s="170">
        <f t="shared" si="12"/>
        <v>1.8139289993067558</v>
      </c>
      <c r="K45" s="173">
        <f t="shared" si="12"/>
        <v>1.9073623427135047</v>
      </c>
      <c r="L45" s="172">
        <f t="shared" si="12"/>
        <v>1.7461689515752297</v>
      </c>
      <c r="M45" s="170">
        <f t="shared" si="13"/>
        <v>1.4764424876509397</v>
      </c>
      <c r="N45" s="170">
        <f t="shared" si="13"/>
        <v>1.602678522259716</v>
      </c>
      <c r="O45" s="170">
        <f t="shared" si="13"/>
        <v>1.5970503427305951</v>
      </c>
      <c r="P45" s="173">
        <f t="shared" si="13"/>
        <v>1.20285007991996</v>
      </c>
      <c r="Q45" s="172">
        <f t="shared" si="13"/>
        <v>4.9777658230559441</v>
      </c>
      <c r="R45" s="170">
        <f t="shared" si="13"/>
        <v>4.4932209840475208</v>
      </c>
      <c r="S45" s="170">
        <f t="shared" si="13"/>
        <v>4.7169300427429137</v>
      </c>
      <c r="T45" s="170">
        <f t="shared" si="13"/>
        <v>4.7027953987009372</v>
      </c>
      <c r="U45" s="174">
        <f t="shared" si="13"/>
        <v>3.988124843809417</v>
      </c>
      <c r="V45" s="175">
        <f t="shared" si="13"/>
        <v>1.3778929979236036</v>
      </c>
      <c r="W45" s="170">
        <f t="shared" si="14"/>
        <v>1.5395514601070375</v>
      </c>
      <c r="X45" s="170">
        <f t="shared" si="14"/>
        <v>1.3540838723324347</v>
      </c>
      <c r="Y45" s="170">
        <f t="shared" si="14"/>
        <v>1.9719207501978719</v>
      </c>
      <c r="Z45" s="170">
        <f t="shared" si="14"/>
        <v>2.3220562793095416</v>
      </c>
      <c r="AA45" s="170">
        <f t="shared" si="14"/>
        <v>3.2794163482316567</v>
      </c>
      <c r="AB45" s="173">
        <f t="shared" si="14"/>
        <v>2.2995852508196322</v>
      </c>
      <c r="AC45" s="170">
        <f>IF(A45="","",COUNTIF('Vika 36'!$B$5:$V$20,A45)+
COUNTIF('Vika 37'!$B$5:$V$20,A45)+
COUNTIF('Vika 38'!$B$5:$V$20,A45)+
COUNTIF('Vika 39'!$B$5:$V$20,A45)+
COUNTIF('Vika 40'!$B$5:$V$20,A45)+
COUNTIF('Vika 41'!$B$5:$V$20,A45)+
COUNTIF('Vika 42'!$B$5:$V$20,A45)+
COUNTIF('Vika 43'!$B$5:$V$20,A45)+
COUNTIF('Vika 44'!$B$5:$V$20,A45)+
COUNTIF('Vika 45'!$B$5:$V$20,A45)+
COUNTIF('Vika 46'!$B$5:$V$20,A45)+
COUNTIF('Vika 47'!$B$5:$V$20,A45)+
COUNTIF('Vika 48'!$B$5:$V$20,A45)+
COUNTIF('Vika x5'!$B$5:$V$20,A45))</f>
        <v>4</v>
      </c>
      <c r="AD45" s="163" t="s">
        <v>129</v>
      </c>
      <c r="AE45" s="146">
        <v>10</v>
      </c>
      <c r="AF45" s="146">
        <v>12</v>
      </c>
    </row>
    <row r="46" spans="1:32" x14ac:dyDescent="0.2">
      <c r="A46" s="155" t="s">
        <v>293</v>
      </c>
      <c r="B46" s="172">
        <v>2</v>
      </c>
      <c r="C46" s="170">
        <f t="shared" si="12"/>
        <v>1.6465522412234006</v>
      </c>
      <c r="D46" s="170">
        <f t="shared" si="12"/>
        <v>1.8070657705985191</v>
      </c>
      <c r="E46" s="170">
        <f t="shared" si="12"/>
        <v>1.7125776219736306</v>
      </c>
      <c r="F46" s="173">
        <f t="shared" si="12"/>
        <v>1.5460797510918218</v>
      </c>
      <c r="G46" s="172">
        <f t="shared" si="12"/>
        <v>2.2626688558114303</v>
      </c>
      <c r="H46" s="170">
        <f t="shared" si="12"/>
        <v>1.8179363016957926</v>
      </c>
      <c r="I46" s="170">
        <f t="shared" si="12"/>
        <v>2.0159375840301856</v>
      </c>
      <c r="J46" s="170">
        <f t="shared" si="12"/>
        <v>1.8139289993067558</v>
      </c>
      <c r="K46" s="173">
        <f t="shared" si="12"/>
        <v>1.9073623427135047</v>
      </c>
      <c r="L46" s="172">
        <f t="shared" si="12"/>
        <v>1.7461689515752297</v>
      </c>
      <c r="M46" s="170">
        <f t="shared" si="13"/>
        <v>1.4764424876509397</v>
      </c>
      <c r="N46" s="170">
        <f t="shared" si="13"/>
        <v>1.602678522259716</v>
      </c>
      <c r="O46" s="170">
        <f t="shared" si="13"/>
        <v>1.5970503427305951</v>
      </c>
      <c r="P46" s="173">
        <f t="shared" si="13"/>
        <v>1.20285007991996</v>
      </c>
      <c r="Q46" s="172">
        <f t="shared" si="13"/>
        <v>4.9777658230559441</v>
      </c>
      <c r="R46" s="170">
        <f t="shared" si="13"/>
        <v>4.4932209840475208</v>
      </c>
      <c r="S46" s="170">
        <f t="shared" si="13"/>
        <v>4.7169300427429137</v>
      </c>
      <c r="T46" s="170">
        <f t="shared" si="13"/>
        <v>4.7027953987009372</v>
      </c>
      <c r="U46" s="174">
        <f t="shared" si="13"/>
        <v>3.988124843809417</v>
      </c>
      <c r="V46" s="175">
        <f t="shared" si="13"/>
        <v>1.3778929979236036</v>
      </c>
      <c r="W46" s="170">
        <f t="shared" si="14"/>
        <v>1.5395514601070375</v>
      </c>
      <c r="X46" s="170">
        <f t="shared" si="14"/>
        <v>1.3540838723324347</v>
      </c>
      <c r="Y46" s="170">
        <f t="shared" si="14"/>
        <v>1.9719207501978719</v>
      </c>
      <c r="Z46" s="170">
        <f t="shared" si="14"/>
        <v>2.3220562793095416</v>
      </c>
      <c r="AA46" s="170">
        <f t="shared" si="14"/>
        <v>3.2794163482316567</v>
      </c>
      <c r="AB46" s="173">
        <f t="shared" si="14"/>
        <v>2.2995852508196322</v>
      </c>
      <c r="AC46" s="170">
        <f>IF(A46="","",COUNTIF('Vika 36'!$B$5:$V$20,A46)+
COUNTIF('Vika 37'!$B$5:$V$20,A46)+
COUNTIF('Vika 38'!$B$5:$V$20,A46)+
COUNTIF('Vika 39'!$B$5:$V$20,A46)+
COUNTIF('Vika 40'!$B$5:$V$20,A46)+
COUNTIF('Vika 41'!$B$5:$V$20,A46)+
COUNTIF('Vika 42'!$B$5:$V$20,A46)+
COUNTIF('Vika 43'!$B$5:$V$20,A46)+
COUNTIF('Vika 44'!$B$5:$V$20,A46)+
COUNTIF('Vika 45'!$B$5:$V$20,A46)+
COUNTIF('Vika 46'!$B$5:$V$20,A46)+
COUNTIF('Vika 47'!$B$5:$V$20,A46)+
COUNTIF('Vika 48'!$B$5:$V$20,A46)+
COUNTIF('Vika x5'!$B$5:$V$20,A46))</f>
        <v>2</v>
      </c>
      <c r="AD46" s="163" t="s">
        <v>130</v>
      </c>
      <c r="AE46" s="146">
        <v>11</v>
      </c>
      <c r="AF46" s="146">
        <v>13</v>
      </c>
    </row>
    <row r="47" spans="1:32" x14ac:dyDescent="0.2">
      <c r="A47" s="155" t="s">
        <v>280</v>
      </c>
      <c r="B47" s="172">
        <v>2</v>
      </c>
      <c r="C47" s="170">
        <f t="shared" si="12"/>
        <v>1.6465522412234006</v>
      </c>
      <c r="D47" s="170">
        <f t="shared" si="12"/>
        <v>1.8070657705985191</v>
      </c>
      <c r="E47" s="170">
        <f t="shared" si="12"/>
        <v>1.7125776219736306</v>
      </c>
      <c r="F47" s="173">
        <f t="shared" si="12"/>
        <v>1.5460797510918218</v>
      </c>
      <c r="G47" s="172">
        <f t="shared" si="12"/>
        <v>2.2626688558114303</v>
      </c>
      <c r="H47" s="170">
        <f t="shared" si="12"/>
        <v>1.8179363016957926</v>
      </c>
      <c r="I47" s="170">
        <f t="shared" si="12"/>
        <v>2.0159375840301856</v>
      </c>
      <c r="J47" s="170">
        <f t="shared" si="12"/>
        <v>1.8139289993067558</v>
      </c>
      <c r="K47" s="173">
        <f t="shared" si="12"/>
        <v>1.9073623427135047</v>
      </c>
      <c r="L47" s="172">
        <f t="shared" si="12"/>
        <v>1.7461689515752297</v>
      </c>
      <c r="M47" s="170">
        <f t="shared" si="13"/>
        <v>1.4764424876509397</v>
      </c>
      <c r="N47" s="170">
        <f t="shared" si="13"/>
        <v>1.602678522259716</v>
      </c>
      <c r="O47" s="170">
        <f t="shared" si="13"/>
        <v>1.5970503427305951</v>
      </c>
      <c r="P47" s="173">
        <f t="shared" si="13"/>
        <v>1.20285007991996</v>
      </c>
      <c r="Q47" s="172">
        <f t="shared" si="13"/>
        <v>4.9777658230559441</v>
      </c>
      <c r="R47" s="170">
        <f t="shared" si="13"/>
        <v>4.4932209840475208</v>
      </c>
      <c r="S47" s="170">
        <f t="shared" si="13"/>
        <v>4.7169300427429137</v>
      </c>
      <c r="T47" s="170">
        <f t="shared" si="13"/>
        <v>4.7027953987009372</v>
      </c>
      <c r="U47" s="174">
        <f t="shared" si="13"/>
        <v>3.988124843809417</v>
      </c>
      <c r="V47" s="175">
        <f t="shared" si="13"/>
        <v>1.3778929979236036</v>
      </c>
      <c r="W47" s="170">
        <f t="shared" si="14"/>
        <v>1.5395514601070375</v>
      </c>
      <c r="X47" s="170">
        <f t="shared" si="14"/>
        <v>1.3540838723324347</v>
      </c>
      <c r="Y47" s="170">
        <f t="shared" si="14"/>
        <v>1.9719207501978719</v>
      </c>
      <c r="Z47" s="170">
        <f t="shared" si="14"/>
        <v>2.3220562793095416</v>
      </c>
      <c r="AA47" s="170">
        <f t="shared" si="14"/>
        <v>3.2794163482316567</v>
      </c>
      <c r="AB47" s="173">
        <f t="shared" si="14"/>
        <v>2.2995852508196322</v>
      </c>
      <c r="AC47" s="170">
        <f>IF(A47="","",COUNTIF('Vika 36'!$B$5:$V$20,A47)+
COUNTIF('Vika 37'!$B$5:$V$20,A47)+
COUNTIF('Vika 38'!$B$5:$V$20,A47)+
COUNTIF('Vika 39'!$B$5:$V$20,A47)+
COUNTIF('Vika 40'!$B$5:$V$20,A47)+
COUNTIF('Vika 41'!$B$5:$V$20,A47)+
COUNTIF('Vika 42'!$B$5:$V$20,A47)+
COUNTIF('Vika 43'!$B$5:$V$20,A47)+
COUNTIF('Vika 44'!$B$5:$V$20,A47)+
COUNTIF('Vika 45'!$B$5:$V$20,A47)+
COUNTIF('Vika 46'!$B$5:$V$20,A47)+
COUNTIF('Vika 47'!$B$5:$V$20,A47)+
COUNTIF('Vika 48'!$B$5:$V$20,A47)+
COUNTIF('Vika x5'!$B$5:$V$20,A47))</f>
        <v>6</v>
      </c>
      <c r="AD47" s="163" t="s">
        <v>131</v>
      </c>
      <c r="AE47" s="146">
        <v>12</v>
      </c>
      <c r="AF47" s="146">
        <v>14</v>
      </c>
    </row>
    <row r="48" spans="1:32" x14ac:dyDescent="0.2">
      <c r="A48" s="155" t="s">
        <v>172</v>
      </c>
      <c r="B48" s="172">
        <v>2</v>
      </c>
      <c r="C48" s="170">
        <f t="shared" si="12"/>
        <v>1.6465522412234006</v>
      </c>
      <c r="D48" s="170">
        <f t="shared" si="12"/>
        <v>1.8070657705985191</v>
      </c>
      <c r="E48" s="170">
        <f t="shared" si="12"/>
        <v>1.7125776219736306</v>
      </c>
      <c r="F48" s="173">
        <f t="shared" si="12"/>
        <v>1.5460797510918218</v>
      </c>
      <c r="G48" s="172">
        <f t="shared" si="12"/>
        <v>2.2626688558114303</v>
      </c>
      <c r="H48" s="170">
        <f t="shared" si="12"/>
        <v>1.8179363016957926</v>
      </c>
      <c r="I48" s="170">
        <f t="shared" si="12"/>
        <v>2.0159375840301856</v>
      </c>
      <c r="J48" s="170">
        <f t="shared" si="12"/>
        <v>1.8139289993067558</v>
      </c>
      <c r="K48" s="173">
        <f t="shared" si="12"/>
        <v>1.9073623427135047</v>
      </c>
      <c r="L48" s="172">
        <f t="shared" si="12"/>
        <v>1.7461689515752297</v>
      </c>
      <c r="M48" s="170">
        <f t="shared" si="13"/>
        <v>1.4764424876509397</v>
      </c>
      <c r="N48" s="170">
        <f t="shared" si="13"/>
        <v>1.602678522259716</v>
      </c>
      <c r="O48" s="170">
        <f t="shared" si="13"/>
        <v>1.5970503427305951</v>
      </c>
      <c r="P48" s="173">
        <f t="shared" si="13"/>
        <v>1.20285007991996</v>
      </c>
      <c r="Q48" s="172">
        <f t="shared" si="13"/>
        <v>4.9777658230559441</v>
      </c>
      <c r="R48" s="170">
        <f t="shared" si="13"/>
        <v>4.4932209840475208</v>
      </c>
      <c r="S48" s="170">
        <f t="shared" si="13"/>
        <v>4.7169300427429137</v>
      </c>
      <c r="T48" s="170">
        <f t="shared" si="13"/>
        <v>4.7027953987009372</v>
      </c>
      <c r="U48" s="174">
        <f t="shared" si="13"/>
        <v>3.988124843809417</v>
      </c>
      <c r="V48" s="175">
        <f t="shared" si="13"/>
        <v>1.3778929979236036</v>
      </c>
      <c r="W48" s="170">
        <f t="shared" si="14"/>
        <v>1.5395514601070375</v>
      </c>
      <c r="X48" s="170">
        <f t="shared" si="14"/>
        <v>1.3540838723324347</v>
      </c>
      <c r="Y48" s="170">
        <f t="shared" si="14"/>
        <v>1.9719207501978719</v>
      </c>
      <c r="Z48" s="170">
        <f t="shared" si="14"/>
        <v>2.3220562793095416</v>
      </c>
      <c r="AA48" s="170">
        <f t="shared" si="14"/>
        <v>3.2794163482316567</v>
      </c>
      <c r="AB48" s="173">
        <f t="shared" si="14"/>
        <v>2.2995852508196322</v>
      </c>
      <c r="AC48" s="170">
        <f>IF(A48="","",COUNTIF('Vika 36'!$B$5:$V$20,A48)+
COUNTIF('Vika 37'!$B$5:$V$20,A48)+
COUNTIF('Vika 38'!$B$5:$V$20,A48)+
COUNTIF('Vika 39'!$B$5:$V$20,A48)+
COUNTIF('Vika 40'!$B$5:$V$20,A48)+
COUNTIF('Vika 41'!$B$5:$V$20,A48)+
COUNTIF('Vika 42'!$B$5:$V$20,A48)+
COUNTIF('Vika 43'!$B$5:$V$20,A48)+
COUNTIF('Vika 44'!$B$5:$V$20,A48)+
COUNTIF('Vika 45'!$B$5:$V$20,A48)+
COUNTIF('Vika 46'!$B$5:$V$20,A48)+
COUNTIF('Vika 47'!$B$5:$V$20,A48)+
COUNTIF('Vika 48'!$B$5:$V$20,A48)+
COUNTIF('Vika x5'!$B$5:$V$20,A48))</f>
        <v>3</v>
      </c>
      <c r="AD48" s="163" t="s">
        <v>132</v>
      </c>
      <c r="AE48" s="146">
        <v>13</v>
      </c>
      <c r="AF48" s="146">
        <v>15</v>
      </c>
    </row>
    <row r="49" spans="1:32" x14ac:dyDescent="0.2">
      <c r="A49" s="155" t="s">
        <v>203</v>
      </c>
      <c r="B49" s="172">
        <v>2</v>
      </c>
      <c r="C49" s="170">
        <f t="shared" si="12"/>
        <v>1.6465522412234006</v>
      </c>
      <c r="D49" s="170">
        <f t="shared" si="12"/>
        <v>1.8070657705985191</v>
      </c>
      <c r="E49" s="170">
        <f t="shared" si="12"/>
        <v>1.7125776219736306</v>
      </c>
      <c r="F49" s="173">
        <f t="shared" si="12"/>
        <v>1.5460797510918218</v>
      </c>
      <c r="G49" s="172">
        <f t="shared" si="12"/>
        <v>2.2626688558114303</v>
      </c>
      <c r="H49" s="170">
        <f t="shared" si="12"/>
        <v>1.8179363016957926</v>
      </c>
      <c r="I49" s="170">
        <f t="shared" si="12"/>
        <v>2.0159375840301856</v>
      </c>
      <c r="J49" s="170">
        <f t="shared" si="12"/>
        <v>1.8139289993067558</v>
      </c>
      <c r="K49" s="173">
        <f t="shared" si="12"/>
        <v>1.9073623427135047</v>
      </c>
      <c r="L49" s="172">
        <f t="shared" si="12"/>
        <v>1.7461689515752297</v>
      </c>
      <c r="M49" s="170">
        <f t="shared" si="13"/>
        <v>1.4764424876509397</v>
      </c>
      <c r="N49" s="170">
        <f t="shared" si="13"/>
        <v>1.602678522259716</v>
      </c>
      <c r="O49" s="170">
        <f t="shared" si="13"/>
        <v>1.5970503427305951</v>
      </c>
      <c r="P49" s="173">
        <f t="shared" si="13"/>
        <v>1.20285007991996</v>
      </c>
      <c r="Q49" s="172">
        <f t="shared" si="13"/>
        <v>4.9777658230559441</v>
      </c>
      <c r="R49" s="170">
        <f t="shared" si="13"/>
        <v>4.4932209840475208</v>
      </c>
      <c r="S49" s="170">
        <f t="shared" si="13"/>
        <v>4.7169300427429137</v>
      </c>
      <c r="T49" s="170">
        <f t="shared" si="13"/>
        <v>4.7027953987009372</v>
      </c>
      <c r="U49" s="174">
        <f t="shared" si="13"/>
        <v>3.988124843809417</v>
      </c>
      <c r="V49" s="175">
        <f t="shared" si="13"/>
        <v>1.3778929979236036</v>
      </c>
      <c r="W49" s="170">
        <f t="shared" si="14"/>
        <v>1.5395514601070375</v>
      </c>
      <c r="X49" s="170">
        <f t="shared" si="14"/>
        <v>1.3540838723324347</v>
      </c>
      <c r="Y49" s="170">
        <f t="shared" si="14"/>
        <v>1.9719207501978719</v>
      </c>
      <c r="Z49" s="170">
        <f t="shared" si="14"/>
        <v>2.3220562793095416</v>
      </c>
      <c r="AA49" s="170">
        <f t="shared" si="14"/>
        <v>3.2794163482316567</v>
      </c>
      <c r="AB49" s="173">
        <f t="shared" si="14"/>
        <v>2.2995852508196322</v>
      </c>
      <c r="AC49" s="170">
        <f>IF(A49="","",COUNTIF('Vika 36'!$B$5:$V$20,A49)+
COUNTIF('Vika 37'!$B$5:$V$20,A49)+
COUNTIF('Vika 38'!$B$5:$V$20,A49)+
COUNTIF('Vika 39'!$B$5:$V$20,A49)+
COUNTIF('Vika 40'!$B$5:$V$20,A49)+
COUNTIF('Vika 41'!$B$5:$V$20,A49)+
COUNTIF('Vika 42'!$B$5:$V$20,A49)+
COUNTIF('Vika 43'!$B$5:$V$20,A49)+
COUNTIF('Vika 44'!$B$5:$V$20,A49)+
COUNTIF('Vika 45'!$B$5:$V$20,A49)+
COUNTIF('Vika 46'!$B$5:$V$20,A49)+
COUNTIF('Vika 47'!$B$5:$V$20,A49)+
COUNTIF('Vika 48'!$B$5:$V$20,A49)+
COUNTIF('Vika x5'!$B$5:$V$20,A49))</f>
        <v>13</v>
      </c>
      <c r="AD49" s="163" t="s">
        <v>133</v>
      </c>
      <c r="AE49" s="146">
        <v>14</v>
      </c>
      <c r="AF49" s="146">
        <v>16</v>
      </c>
    </row>
    <row r="50" spans="1:32" x14ac:dyDescent="0.2">
      <c r="A50" s="155" t="s">
        <v>37</v>
      </c>
      <c r="B50" s="172">
        <v>8</v>
      </c>
      <c r="C50" s="170">
        <f t="shared" si="12"/>
        <v>6.5862089648936024</v>
      </c>
      <c r="D50" s="170">
        <f t="shared" si="12"/>
        <v>7.2282630823940766</v>
      </c>
      <c r="E50" s="170">
        <f t="shared" si="12"/>
        <v>6.8503104878945225</v>
      </c>
      <c r="F50" s="173">
        <f t="shared" si="12"/>
        <v>6.1843190043672873</v>
      </c>
      <c r="G50" s="172">
        <f t="shared" si="12"/>
        <v>9.0506754232457212</v>
      </c>
      <c r="H50" s="170">
        <f t="shared" si="12"/>
        <v>7.2717452067831703</v>
      </c>
      <c r="I50" s="170">
        <f t="shared" si="12"/>
        <v>8.0637503361207425</v>
      </c>
      <c r="J50" s="170">
        <f t="shared" si="12"/>
        <v>7.2557159972270231</v>
      </c>
      <c r="K50" s="173">
        <f t="shared" si="12"/>
        <v>7.6294493708540188</v>
      </c>
      <c r="L50" s="172">
        <f t="shared" si="12"/>
        <v>6.9846758063009187</v>
      </c>
      <c r="M50" s="170">
        <f t="shared" si="13"/>
        <v>5.9057699506037586</v>
      </c>
      <c r="N50" s="170">
        <f t="shared" si="13"/>
        <v>6.4107140890388639</v>
      </c>
      <c r="O50" s="170">
        <f t="shared" si="13"/>
        <v>6.3882013709223804</v>
      </c>
      <c r="P50" s="173">
        <f t="shared" si="13"/>
        <v>4.8114003196798398</v>
      </c>
      <c r="Q50" s="172">
        <f t="shared" si="13"/>
        <v>19.911063292223776</v>
      </c>
      <c r="R50" s="170">
        <f t="shared" si="13"/>
        <v>17.972883936190083</v>
      </c>
      <c r="S50" s="170">
        <f t="shared" si="13"/>
        <v>18.867720170971655</v>
      </c>
      <c r="T50" s="170">
        <f t="shared" si="13"/>
        <v>18.811181594803749</v>
      </c>
      <c r="U50" s="174">
        <f t="shared" si="13"/>
        <v>15.952499375237668</v>
      </c>
      <c r="V50" s="175">
        <f t="shared" si="13"/>
        <v>5.5115719916944146</v>
      </c>
      <c r="W50" s="170">
        <f t="shared" si="14"/>
        <v>6.1582058404281499</v>
      </c>
      <c r="X50" s="170">
        <f t="shared" si="14"/>
        <v>5.4163354893297386</v>
      </c>
      <c r="Y50" s="170">
        <f t="shared" si="14"/>
        <v>7.8876830007914878</v>
      </c>
      <c r="Z50" s="170">
        <f t="shared" si="14"/>
        <v>9.2882251172381665</v>
      </c>
      <c r="AA50" s="170">
        <f t="shared" si="14"/>
        <v>13.117665392926627</v>
      </c>
      <c r="AB50" s="173">
        <f t="shared" si="14"/>
        <v>9.1983410032785287</v>
      </c>
      <c r="AC50" s="170">
        <f>IF(A50="","",COUNTIF('Vika 36'!$B$5:$V$20,A50)+
COUNTIF('Vika 37'!$B$5:$V$20,A50)+
COUNTIF('Vika 38'!$B$5:$V$20,A50)+
COUNTIF('Vika 39'!$B$5:$V$20,A50)+
COUNTIF('Vika 40'!$B$5:$V$20,A50)+
COUNTIF('Vika 41'!$B$5:$V$20,A50)+
COUNTIF('Vika 42'!$B$5:$V$20,A50)+
COUNTIF('Vika 43'!$B$5:$V$20,A50)+
COUNTIF('Vika 44'!$B$5:$V$20,A50)+
COUNTIF('Vika 45'!$B$5:$V$20,A50)+
COUNTIF('Vika 46'!$B$5:$V$20,A50)+
COUNTIF('Vika 47'!$B$5:$V$20,A50)+
COUNTIF('Vika 48'!$B$5:$V$20,A50)+
COUNTIF('Vika x5'!$B$5:$V$20,A50))</f>
        <v>88</v>
      </c>
      <c r="AD50" s="163" t="s">
        <v>134</v>
      </c>
      <c r="AE50" s="146">
        <v>15</v>
      </c>
      <c r="AF50" s="146">
        <v>17</v>
      </c>
    </row>
    <row r="51" spans="1:32" x14ac:dyDescent="0.2">
      <c r="A51" s="155" t="s">
        <v>210</v>
      </c>
      <c r="B51" s="172">
        <v>1</v>
      </c>
      <c r="C51" s="170">
        <f t="shared" si="12"/>
        <v>0.8232761206117003</v>
      </c>
      <c r="D51" s="170">
        <f t="shared" si="12"/>
        <v>0.90353288529925957</v>
      </c>
      <c r="E51" s="170">
        <f t="shared" si="12"/>
        <v>0.85628881098681531</v>
      </c>
      <c r="F51" s="173">
        <f t="shared" si="12"/>
        <v>0.77303987554591092</v>
      </c>
      <c r="G51" s="172">
        <f t="shared" si="12"/>
        <v>1.1313344279057151</v>
      </c>
      <c r="H51" s="170">
        <f t="shared" si="12"/>
        <v>0.90896815084789628</v>
      </c>
      <c r="I51" s="170">
        <f t="shared" si="12"/>
        <v>1.0079687920150928</v>
      </c>
      <c r="J51" s="170">
        <f t="shared" si="12"/>
        <v>0.90696449965337789</v>
      </c>
      <c r="K51" s="173">
        <f t="shared" si="12"/>
        <v>0.95368117135675234</v>
      </c>
      <c r="L51" s="172">
        <f t="shared" si="12"/>
        <v>0.87308447578761483</v>
      </c>
      <c r="M51" s="170">
        <f t="shared" si="13"/>
        <v>0.73822124382546983</v>
      </c>
      <c r="N51" s="170">
        <f t="shared" si="13"/>
        <v>0.80133926112985798</v>
      </c>
      <c r="O51" s="170">
        <f t="shared" si="13"/>
        <v>0.79852517136529755</v>
      </c>
      <c r="P51" s="173">
        <f t="shared" si="13"/>
        <v>0.60142503995997998</v>
      </c>
      <c r="Q51" s="172">
        <f t="shared" si="13"/>
        <v>2.488882911527972</v>
      </c>
      <c r="R51" s="170">
        <f t="shared" si="13"/>
        <v>2.2466104920237604</v>
      </c>
      <c r="S51" s="170">
        <f t="shared" si="13"/>
        <v>2.3584650213714569</v>
      </c>
      <c r="T51" s="170">
        <f t="shared" si="13"/>
        <v>2.3513976993504686</v>
      </c>
      <c r="U51" s="174">
        <f t="shared" si="13"/>
        <v>1.9940624219047085</v>
      </c>
      <c r="V51" s="175">
        <f t="shared" si="13"/>
        <v>0.68894649896180182</v>
      </c>
      <c r="W51" s="170">
        <f t="shared" si="14"/>
        <v>0.76977573005351874</v>
      </c>
      <c r="X51" s="170">
        <f t="shared" si="14"/>
        <v>0.67704193616621733</v>
      </c>
      <c r="Y51" s="170">
        <f t="shared" si="14"/>
        <v>0.98596037509893597</v>
      </c>
      <c r="Z51" s="170">
        <f t="shared" si="14"/>
        <v>1.1610281396547708</v>
      </c>
      <c r="AA51" s="170">
        <f t="shared" si="14"/>
        <v>1.6397081741158284</v>
      </c>
      <c r="AB51" s="173">
        <f t="shared" si="14"/>
        <v>1.1497926254098161</v>
      </c>
      <c r="AC51" s="170">
        <f>IF(A51="","",COUNTIF('Vika 36'!$B$5:$V$20,A51)+
COUNTIF('Vika 37'!$B$5:$V$20,A51)+
COUNTIF('Vika 38'!$B$5:$V$20,A51)+
COUNTIF('Vika 39'!$B$5:$V$20,A51)+
COUNTIF('Vika 40'!$B$5:$V$20,A51)+
COUNTIF('Vika 41'!$B$5:$V$20,A51)+
COUNTIF('Vika 42'!$B$5:$V$20,A51)+
COUNTIF('Vika 43'!$B$5:$V$20,A51)+
COUNTIF('Vika 44'!$B$5:$V$20,A51)+
COUNTIF('Vika 45'!$B$5:$V$20,A51)+
COUNTIF('Vika 46'!$B$5:$V$20,A51)+
COUNTIF('Vika 47'!$B$5:$V$20,A51)+
COUNTIF('Vika 48'!$B$5:$V$20,A51)+
COUNTIF('Vika x5'!$B$5:$V$20,A51))</f>
        <v>114</v>
      </c>
      <c r="AD51" s="163" t="s">
        <v>135</v>
      </c>
      <c r="AE51" s="146">
        <v>16</v>
      </c>
      <c r="AF51" s="146">
        <v>18</v>
      </c>
    </row>
    <row r="52" spans="1:32" x14ac:dyDescent="0.2">
      <c r="A52" s="155" t="s">
        <v>288</v>
      </c>
      <c r="B52" s="172">
        <v>2</v>
      </c>
      <c r="C52" s="170">
        <f t="shared" si="12"/>
        <v>1.6465522412234006</v>
      </c>
      <c r="D52" s="170">
        <f t="shared" si="12"/>
        <v>1.8070657705985191</v>
      </c>
      <c r="E52" s="170">
        <f t="shared" si="12"/>
        <v>1.7125776219736306</v>
      </c>
      <c r="F52" s="173">
        <f t="shared" si="12"/>
        <v>1.5460797510918218</v>
      </c>
      <c r="G52" s="172">
        <f t="shared" si="12"/>
        <v>2.2626688558114303</v>
      </c>
      <c r="H52" s="170">
        <f t="shared" si="12"/>
        <v>1.8179363016957926</v>
      </c>
      <c r="I52" s="170">
        <f t="shared" si="12"/>
        <v>2.0159375840301856</v>
      </c>
      <c r="J52" s="170">
        <f t="shared" si="12"/>
        <v>1.8139289993067558</v>
      </c>
      <c r="K52" s="173">
        <f t="shared" si="12"/>
        <v>1.9073623427135047</v>
      </c>
      <c r="L52" s="172">
        <f t="shared" si="12"/>
        <v>1.7461689515752297</v>
      </c>
      <c r="M52" s="170">
        <f t="shared" si="13"/>
        <v>1.4764424876509397</v>
      </c>
      <c r="N52" s="170">
        <f t="shared" si="13"/>
        <v>1.602678522259716</v>
      </c>
      <c r="O52" s="170">
        <f t="shared" si="13"/>
        <v>1.5970503427305951</v>
      </c>
      <c r="P52" s="173">
        <f t="shared" si="13"/>
        <v>1.20285007991996</v>
      </c>
      <c r="Q52" s="172">
        <f t="shared" si="13"/>
        <v>4.9777658230559441</v>
      </c>
      <c r="R52" s="170">
        <f t="shared" si="13"/>
        <v>4.4932209840475208</v>
      </c>
      <c r="S52" s="170">
        <f t="shared" si="13"/>
        <v>4.7169300427429137</v>
      </c>
      <c r="T52" s="170">
        <f t="shared" si="13"/>
        <v>4.7027953987009372</v>
      </c>
      <c r="U52" s="174">
        <f t="shared" si="13"/>
        <v>3.988124843809417</v>
      </c>
      <c r="V52" s="175">
        <f t="shared" si="13"/>
        <v>1.3778929979236036</v>
      </c>
      <c r="W52" s="170">
        <f t="shared" si="14"/>
        <v>1.5395514601070375</v>
      </c>
      <c r="X52" s="170">
        <f t="shared" si="14"/>
        <v>1.3540838723324347</v>
      </c>
      <c r="Y52" s="170">
        <f t="shared" si="14"/>
        <v>1.9719207501978719</v>
      </c>
      <c r="Z52" s="170">
        <f t="shared" si="14"/>
        <v>2.3220562793095416</v>
      </c>
      <c r="AA52" s="170">
        <f t="shared" si="14"/>
        <v>3.2794163482316567</v>
      </c>
      <c r="AB52" s="173">
        <f t="shared" si="14"/>
        <v>2.2995852508196322</v>
      </c>
      <c r="AC52" s="170">
        <f>IF(A52="","",COUNTIF('Vika 36'!$B$5:$V$20,A52)+
COUNTIF('Vika 37'!$B$5:$V$20,A52)+
COUNTIF('Vika 38'!$B$5:$V$20,A52)+
COUNTIF('Vika 39'!$B$5:$V$20,A52)+
COUNTIF('Vika 40'!$B$5:$V$20,A52)+
COUNTIF('Vika 41'!$B$5:$V$20,A52)+
COUNTIF('Vika 42'!$B$5:$V$20,A52)+
COUNTIF('Vika 43'!$B$5:$V$20,A52)+
COUNTIF('Vika 44'!$B$5:$V$20,A52)+
COUNTIF('Vika 45'!$B$5:$V$20,A52)+
COUNTIF('Vika 46'!$B$5:$V$20,A52)+
COUNTIF('Vika 47'!$B$5:$V$20,A52)+
COUNTIF('Vika 48'!$B$5:$V$20,A52)+
COUNTIF('Vika x5'!$B$5:$V$20,A52))</f>
        <v>6</v>
      </c>
      <c r="AD52" s="163" t="s">
        <v>136</v>
      </c>
      <c r="AE52" s="146">
        <v>17</v>
      </c>
      <c r="AF52" s="146">
        <v>19</v>
      </c>
    </row>
    <row r="53" spans="1:32" x14ac:dyDescent="0.2">
      <c r="A53" s="155" t="s">
        <v>240</v>
      </c>
      <c r="B53" s="172">
        <v>2</v>
      </c>
      <c r="C53" s="170">
        <f t="shared" ref="C53:L62" si="15">IF(OR($B53="-",$B53=""),"-",$B53*C$203)</f>
        <v>1.6465522412234006</v>
      </c>
      <c r="D53" s="170">
        <f t="shared" si="15"/>
        <v>1.8070657705985191</v>
      </c>
      <c r="E53" s="170">
        <f t="shared" si="15"/>
        <v>1.7125776219736306</v>
      </c>
      <c r="F53" s="173">
        <f t="shared" si="15"/>
        <v>1.5460797510918218</v>
      </c>
      <c r="G53" s="172">
        <f t="shared" si="15"/>
        <v>2.2626688558114303</v>
      </c>
      <c r="H53" s="170">
        <f t="shared" si="15"/>
        <v>1.8179363016957926</v>
      </c>
      <c r="I53" s="170">
        <f t="shared" si="15"/>
        <v>2.0159375840301856</v>
      </c>
      <c r="J53" s="170">
        <f t="shared" si="15"/>
        <v>1.8139289993067558</v>
      </c>
      <c r="K53" s="173">
        <f t="shared" si="15"/>
        <v>1.9073623427135047</v>
      </c>
      <c r="L53" s="172">
        <f t="shared" si="15"/>
        <v>1.7461689515752297</v>
      </c>
      <c r="M53" s="170">
        <f t="shared" ref="M53:V62" si="16">IF(OR($B53="-",$B53=""),"-",$B53*M$203)</f>
        <v>1.4764424876509397</v>
      </c>
      <c r="N53" s="170">
        <f t="shared" si="16"/>
        <v>1.602678522259716</v>
      </c>
      <c r="O53" s="170">
        <f t="shared" si="16"/>
        <v>1.5970503427305951</v>
      </c>
      <c r="P53" s="173">
        <f t="shared" si="16"/>
        <v>1.20285007991996</v>
      </c>
      <c r="Q53" s="172">
        <f t="shared" si="16"/>
        <v>4.9777658230559441</v>
      </c>
      <c r="R53" s="170">
        <f t="shared" si="16"/>
        <v>4.4932209840475208</v>
      </c>
      <c r="S53" s="170">
        <f t="shared" si="16"/>
        <v>4.7169300427429137</v>
      </c>
      <c r="T53" s="170">
        <f t="shared" si="16"/>
        <v>4.7027953987009372</v>
      </c>
      <c r="U53" s="174">
        <f t="shared" si="16"/>
        <v>3.988124843809417</v>
      </c>
      <c r="V53" s="175">
        <f t="shared" si="16"/>
        <v>1.3778929979236036</v>
      </c>
      <c r="W53" s="170">
        <f t="shared" ref="W53:AB62" si="17">IF(OR($B53="-",$B53=""),"-",$B53*W$203)</f>
        <v>1.5395514601070375</v>
      </c>
      <c r="X53" s="170">
        <f t="shared" si="17"/>
        <v>1.3540838723324347</v>
      </c>
      <c r="Y53" s="170">
        <f t="shared" si="17"/>
        <v>1.9719207501978719</v>
      </c>
      <c r="Z53" s="170">
        <f t="shared" si="17"/>
        <v>2.3220562793095416</v>
      </c>
      <c r="AA53" s="170">
        <f t="shared" si="17"/>
        <v>3.2794163482316567</v>
      </c>
      <c r="AB53" s="173">
        <f t="shared" si="17"/>
        <v>2.2995852508196322</v>
      </c>
      <c r="AC53" s="170">
        <f>IF(A53="","",COUNTIF('Vika 36'!$B$5:$V$20,A53)+
COUNTIF('Vika 37'!$B$5:$V$20,A53)+
COUNTIF('Vika 38'!$B$5:$V$20,A53)+
COUNTIF('Vika 39'!$B$5:$V$20,A53)+
COUNTIF('Vika 40'!$B$5:$V$20,A53)+
COUNTIF('Vika 41'!$B$5:$V$20,A53)+
COUNTIF('Vika 42'!$B$5:$V$20,A53)+
COUNTIF('Vika 43'!$B$5:$V$20,A53)+
COUNTIF('Vika 44'!$B$5:$V$20,A53)+
COUNTIF('Vika 45'!$B$5:$V$20,A53)+
COUNTIF('Vika 46'!$B$5:$V$20,A53)+
COUNTIF('Vika 47'!$B$5:$V$20,A53)+
COUNTIF('Vika 48'!$B$5:$V$20,A53)+
COUNTIF('Vika x5'!$B$5:$V$20,A53))</f>
        <v>6</v>
      </c>
      <c r="AD53" s="163" t="s">
        <v>137</v>
      </c>
      <c r="AE53" s="146">
        <v>18</v>
      </c>
      <c r="AF53" s="146">
        <v>20</v>
      </c>
    </row>
    <row r="54" spans="1:32" x14ac:dyDescent="0.2">
      <c r="A54" s="155" t="s">
        <v>225</v>
      </c>
      <c r="B54" s="172">
        <v>4</v>
      </c>
      <c r="C54" s="170">
        <f t="shared" si="15"/>
        <v>3.2931044824468012</v>
      </c>
      <c r="D54" s="170">
        <f t="shared" si="15"/>
        <v>3.6141315411970383</v>
      </c>
      <c r="E54" s="170">
        <f t="shared" si="15"/>
        <v>3.4251552439472612</v>
      </c>
      <c r="F54" s="173">
        <f t="shared" si="15"/>
        <v>3.0921595021836437</v>
      </c>
      <c r="G54" s="172">
        <f t="shared" si="15"/>
        <v>4.5253377116228606</v>
      </c>
      <c r="H54" s="170">
        <f t="shared" si="15"/>
        <v>3.6358726033915851</v>
      </c>
      <c r="I54" s="170">
        <f t="shared" si="15"/>
        <v>4.0318751680603713</v>
      </c>
      <c r="J54" s="170">
        <f t="shared" si="15"/>
        <v>3.6278579986135115</v>
      </c>
      <c r="K54" s="173">
        <f t="shared" si="15"/>
        <v>3.8147246854270094</v>
      </c>
      <c r="L54" s="172">
        <f t="shared" si="15"/>
        <v>3.4923379031504593</v>
      </c>
      <c r="M54" s="170">
        <f t="shared" si="16"/>
        <v>2.9528849753018793</v>
      </c>
      <c r="N54" s="170">
        <f t="shared" si="16"/>
        <v>3.2053570445194319</v>
      </c>
      <c r="O54" s="170">
        <f t="shared" si="16"/>
        <v>3.1941006854611902</v>
      </c>
      <c r="P54" s="173">
        <f t="shared" si="16"/>
        <v>2.4057001598399199</v>
      </c>
      <c r="Q54" s="172">
        <f t="shared" si="16"/>
        <v>9.9555316461118881</v>
      </c>
      <c r="R54" s="170">
        <f t="shared" si="16"/>
        <v>8.9864419680950416</v>
      </c>
      <c r="S54" s="170">
        <f t="shared" si="16"/>
        <v>9.4338600854858274</v>
      </c>
      <c r="T54" s="170">
        <f t="shared" si="16"/>
        <v>9.4055907974018744</v>
      </c>
      <c r="U54" s="174">
        <f t="shared" si="16"/>
        <v>7.976249687618834</v>
      </c>
      <c r="V54" s="175">
        <f t="shared" si="16"/>
        <v>2.7557859958472073</v>
      </c>
      <c r="W54" s="170">
        <f t="shared" si="17"/>
        <v>3.0791029202140749</v>
      </c>
      <c r="X54" s="170">
        <f t="shared" si="17"/>
        <v>2.7081677446648693</v>
      </c>
      <c r="Y54" s="170">
        <f t="shared" si="17"/>
        <v>3.9438415003957439</v>
      </c>
      <c r="Z54" s="170">
        <f t="shared" si="17"/>
        <v>4.6441125586190832</v>
      </c>
      <c r="AA54" s="170">
        <f t="shared" si="17"/>
        <v>6.5588326964633135</v>
      </c>
      <c r="AB54" s="173">
        <f t="shared" si="17"/>
        <v>4.5991705016392643</v>
      </c>
      <c r="AC54" s="170">
        <f>IF(A54="","",COUNTIF('Vika 36'!$B$5:$V$20,A54)+
COUNTIF('Vika 37'!$B$5:$V$20,A54)+
COUNTIF('Vika 38'!$B$5:$V$20,A54)+
COUNTIF('Vika 39'!$B$5:$V$20,A54)+
COUNTIF('Vika 40'!$B$5:$V$20,A54)+
COUNTIF('Vika 41'!$B$5:$V$20,A54)+
COUNTIF('Vika 42'!$B$5:$V$20,A54)+
COUNTIF('Vika 43'!$B$5:$V$20,A54)+
COUNTIF('Vika 44'!$B$5:$V$20,A54)+
COUNTIF('Vika 45'!$B$5:$V$20,A54)+
COUNTIF('Vika 46'!$B$5:$V$20,A54)+
COUNTIF('Vika 47'!$B$5:$V$20,A54)+
COUNTIF('Vika 48'!$B$5:$V$20,A54)+
COUNTIF('Vika x5'!$B$5:$V$20,A54))</f>
        <v>5</v>
      </c>
      <c r="AD54" s="163" t="s">
        <v>138</v>
      </c>
      <c r="AE54" s="146">
        <v>19</v>
      </c>
      <c r="AF54" s="146">
        <v>21</v>
      </c>
    </row>
    <row r="55" spans="1:32" x14ac:dyDescent="0.2">
      <c r="A55" s="155" t="s">
        <v>313</v>
      </c>
      <c r="B55" s="172">
        <v>1</v>
      </c>
      <c r="C55" s="170">
        <f t="shared" si="15"/>
        <v>0.8232761206117003</v>
      </c>
      <c r="D55" s="170">
        <f t="shared" si="15"/>
        <v>0.90353288529925957</v>
      </c>
      <c r="E55" s="170">
        <f t="shared" si="15"/>
        <v>0.85628881098681531</v>
      </c>
      <c r="F55" s="173">
        <f t="shared" si="15"/>
        <v>0.77303987554591092</v>
      </c>
      <c r="G55" s="172">
        <f t="shared" si="15"/>
        <v>1.1313344279057151</v>
      </c>
      <c r="H55" s="170">
        <f t="shared" si="15"/>
        <v>0.90896815084789628</v>
      </c>
      <c r="I55" s="170">
        <f t="shared" si="15"/>
        <v>1.0079687920150928</v>
      </c>
      <c r="J55" s="170">
        <f t="shared" si="15"/>
        <v>0.90696449965337789</v>
      </c>
      <c r="K55" s="173">
        <f t="shared" si="15"/>
        <v>0.95368117135675234</v>
      </c>
      <c r="L55" s="172">
        <f t="shared" si="15"/>
        <v>0.87308447578761483</v>
      </c>
      <c r="M55" s="170">
        <f t="shared" si="16"/>
        <v>0.73822124382546983</v>
      </c>
      <c r="N55" s="170">
        <f t="shared" si="16"/>
        <v>0.80133926112985798</v>
      </c>
      <c r="O55" s="170">
        <f t="shared" si="16"/>
        <v>0.79852517136529755</v>
      </c>
      <c r="P55" s="173">
        <f t="shared" si="16"/>
        <v>0.60142503995997998</v>
      </c>
      <c r="Q55" s="172">
        <f t="shared" si="16"/>
        <v>2.488882911527972</v>
      </c>
      <c r="R55" s="170">
        <f t="shared" si="16"/>
        <v>2.2466104920237604</v>
      </c>
      <c r="S55" s="170">
        <f t="shared" si="16"/>
        <v>2.3584650213714569</v>
      </c>
      <c r="T55" s="170">
        <f t="shared" si="16"/>
        <v>2.3513976993504686</v>
      </c>
      <c r="U55" s="174">
        <f t="shared" si="16"/>
        <v>1.9940624219047085</v>
      </c>
      <c r="V55" s="175">
        <f t="shared" si="16"/>
        <v>0.68894649896180182</v>
      </c>
      <c r="W55" s="170">
        <f t="shared" si="17"/>
        <v>0.76977573005351874</v>
      </c>
      <c r="X55" s="170">
        <f t="shared" si="17"/>
        <v>0.67704193616621733</v>
      </c>
      <c r="Y55" s="170">
        <f t="shared" si="17"/>
        <v>0.98596037509893597</v>
      </c>
      <c r="Z55" s="170">
        <f t="shared" si="17"/>
        <v>1.1610281396547708</v>
      </c>
      <c r="AA55" s="170">
        <f t="shared" si="17"/>
        <v>1.6397081741158284</v>
      </c>
      <c r="AB55" s="173">
        <f t="shared" si="17"/>
        <v>1.1497926254098161</v>
      </c>
      <c r="AC55" s="170">
        <f>IF(A55="","",COUNTIF('Vika 36'!$B$5:$V$20,A55)+
COUNTIF('Vika 37'!$B$5:$V$20,A55)+
COUNTIF('Vika 38'!$B$5:$V$20,A55)+
COUNTIF('Vika 39'!$B$5:$V$20,A55)+
COUNTIF('Vika 40'!$B$5:$V$20,A55)+
COUNTIF('Vika 41'!$B$5:$V$20,A55)+
COUNTIF('Vika 42'!$B$5:$V$20,A55)+
COUNTIF('Vika 43'!$B$5:$V$20,A55)+
COUNTIF('Vika 44'!$B$5:$V$20,A55)+
COUNTIF('Vika 45'!$B$5:$V$20,A55)+
COUNTIF('Vika 46'!$B$5:$V$20,A55)+
COUNTIF('Vika 47'!$B$5:$V$20,A55)+
COUNTIF('Vika 48'!$B$5:$V$20,A55)+
COUNTIF('Vika x5'!$B$5:$V$20,A55))</f>
        <v>1</v>
      </c>
      <c r="AD55" s="163" t="s">
        <v>139</v>
      </c>
      <c r="AE55" s="146">
        <v>20</v>
      </c>
      <c r="AF55" s="146">
        <v>22</v>
      </c>
    </row>
    <row r="56" spans="1:32" x14ac:dyDescent="0.2">
      <c r="A56" s="155" t="s">
        <v>325</v>
      </c>
      <c r="B56" s="172" t="s">
        <v>327</v>
      </c>
      <c r="C56" s="170" t="e">
        <f t="shared" si="15"/>
        <v>#VALUE!</v>
      </c>
      <c r="D56" s="170" t="e">
        <f t="shared" si="15"/>
        <v>#VALUE!</v>
      </c>
      <c r="E56" s="170" t="e">
        <f t="shared" si="15"/>
        <v>#VALUE!</v>
      </c>
      <c r="F56" s="173" t="e">
        <f t="shared" si="15"/>
        <v>#VALUE!</v>
      </c>
      <c r="G56" s="172" t="e">
        <f t="shared" si="15"/>
        <v>#VALUE!</v>
      </c>
      <c r="H56" s="170" t="e">
        <f t="shared" si="15"/>
        <v>#VALUE!</v>
      </c>
      <c r="I56" s="170" t="e">
        <f t="shared" si="15"/>
        <v>#VALUE!</v>
      </c>
      <c r="J56" s="170" t="e">
        <f t="shared" si="15"/>
        <v>#VALUE!</v>
      </c>
      <c r="K56" s="173" t="e">
        <f t="shared" si="15"/>
        <v>#VALUE!</v>
      </c>
      <c r="L56" s="172" t="e">
        <f t="shared" si="15"/>
        <v>#VALUE!</v>
      </c>
      <c r="M56" s="170" t="e">
        <f t="shared" si="16"/>
        <v>#VALUE!</v>
      </c>
      <c r="N56" s="170" t="e">
        <f t="shared" si="16"/>
        <v>#VALUE!</v>
      </c>
      <c r="O56" s="170" t="e">
        <f t="shared" si="16"/>
        <v>#VALUE!</v>
      </c>
      <c r="P56" s="173" t="e">
        <f t="shared" si="16"/>
        <v>#VALUE!</v>
      </c>
      <c r="Q56" s="172" t="e">
        <f t="shared" si="16"/>
        <v>#VALUE!</v>
      </c>
      <c r="R56" s="170" t="e">
        <f t="shared" si="16"/>
        <v>#VALUE!</v>
      </c>
      <c r="S56" s="170" t="e">
        <f t="shared" si="16"/>
        <v>#VALUE!</v>
      </c>
      <c r="T56" s="170" t="e">
        <f t="shared" si="16"/>
        <v>#VALUE!</v>
      </c>
      <c r="U56" s="174" t="e">
        <f t="shared" si="16"/>
        <v>#VALUE!</v>
      </c>
      <c r="V56" s="175" t="e">
        <f t="shared" si="16"/>
        <v>#VALUE!</v>
      </c>
      <c r="W56" s="170" t="e">
        <f t="shared" si="17"/>
        <v>#VALUE!</v>
      </c>
      <c r="X56" s="170" t="e">
        <f t="shared" si="17"/>
        <v>#VALUE!</v>
      </c>
      <c r="Y56" s="170" t="e">
        <f t="shared" si="17"/>
        <v>#VALUE!</v>
      </c>
      <c r="Z56" s="170" t="e">
        <f t="shared" si="17"/>
        <v>#VALUE!</v>
      </c>
      <c r="AA56" s="170" t="e">
        <f t="shared" si="17"/>
        <v>#VALUE!</v>
      </c>
      <c r="AB56" s="173" t="e">
        <f t="shared" si="17"/>
        <v>#VALUE!</v>
      </c>
      <c r="AC56" s="170">
        <f>IF(A56="","",COUNTIF('Vika 36'!$B$5:$V$20,A56)+
COUNTIF('Vika 37'!$B$5:$V$20,A56)+
COUNTIF('Vika 38'!$B$5:$V$20,A56)+
COUNTIF('Vika 39'!$B$5:$V$20,A56)+
COUNTIF('Vika 40'!$B$5:$V$20,A56)+
COUNTIF('Vika 41'!$B$5:$V$20,A56)+
COUNTIF('Vika 42'!$B$5:$V$20,A56)+
COUNTIF('Vika 43'!$B$5:$V$20,A56)+
COUNTIF('Vika 44'!$B$5:$V$20,A56)+
COUNTIF('Vika 45'!$B$5:$V$20,A56)+
COUNTIF('Vika 46'!$B$5:$V$20,A56)+
COUNTIF('Vika 47'!$B$5:$V$20,A56)+
COUNTIF('Vika 48'!$B$5:$V$20,A56)+
COUNTIF('Vika x5'!$B$5:$V$20,A56))</f>
        <v>1</v>
      </c>
      <c r="AD56" s="163" t="s">
        <v>140</v>
      </c>
      <c r="AE56" s="146">
        <v>21</v>
      </c>
      <c r="AF56" s="146">
        <v>23</v>
      </c>
    </row>
    <row r="57" spans="1:32" x14ac:dyDescent="0.2">
      <c r="A57" s="155" t="s">
        <v>148</v>
      </c>
      <c r="B57" s="172" t="s">
        <v>109</v>
      </c>
      <c r="C57" s="170" t="str">
        <f t="shared" si="15"/>
        <v>-</v>
      </c>
      <c r="D57" s="170" t="str">
        <f t="shared" si="15"/>
        <v>-</v>
      </c>
      <c r="E57" s="170" t="str">
        <f t="shared" si="15"/>
        <v>-</v>
      </c>
      <c r="F57" s="173" t="str">
        <f t="shared" si="15"/>
        <v>-</v>
      </c>
      <c r="G57" s="172" t="str">
        <f t="shared" si="15"/>
        <v>-</v>
      </c>
      <c r="H57" s="170" t="str">
        <f t="shared" si="15"/>
        <v>-</v>
      </c>
      <c r="I57" s="170" t="str">
        <f t="shared" si="15"/>
        <v>-</v>
      </c>
      <c r="J57" s="170" t="str">
        <f t="shared" si="15"/>
        <v>-</v>
      </c>
      <c r="K57" s="173" t="str">
        <f t="shared" si="15"/>
        <v>-</v>
      </c>
      <c r="L57" s="172" t="str">
        <f t="shared" si="15"/>
        <v>-</v>
      </c>
      <c r="M57" s="170" t="str">
        <f t="shared" si="16"/>
        <v>-</v>
      </c>
      <c r="N57" s="170" t="str">
        <f t="shared" si="16"/>
        <v>-</v>
      </c>
      <c r="O57" s="170" t="str">
        <f t="shared" si="16"/>
        <v>-</v>
      </c>
      <c r="P57" s="173" t="str">
        <f t="shared" si="16"/>
        <v>-</v>
      </c>
      <c r="Q57" s="172" t="str">
        <f t="shared" si="16"/>
        <v>-</v>
      </c>
      <c r="R57" s="170" t="str">
        <f t="shared" si="16"/>
        <v>-</v>
      </c>
      <c r="S57" s="170" t="str">
        <f t="shared" si="16"/>
        <v>-</v>
      </c>
      <c r="T57" s="170" t="str">
        <f t="shared" si="16"/>
        <v>-</v>
      </c>
      <c r="U57" s="174" t="str">
        <f t="shared" si="16"/>
        <v>-</v>
      </c>
      <c r="V57" s="175" t="str">
        <f t="shared" si="16"/>
        <v>-</v>
      </c>
      <c r="W57" s="170" t="str">
        <f t="shared" si="17"/>
        <v>-</v>
      </c>
      <c r="X57" s="170" t="str">
        <f t="shared" si="17"/>
        <v>-</v>
      </c>
      <c r="Y57" s="170" t="str">
        <f t="shared" si="17"/>
        <v>-</v>
      </c>
      <c r="Z57" s="170" t="str">
        <f t="shared" si="17"/>
        <v>-</v>
      </c>
      <c r="AA57" s="170" t="str">
        <f t="shared" si="17"/>
        <v>-</v>
      </c>
      <c r="AB57" s="173" t="str">
        <f t="shared" si="17"/>
        <v>-</v>
      </c>
      <c r="AC57" s="170">
        <f>IF(A57="","",COUNTIF('Vika 36'!$B$5:$V$20,A57)+
COUNTIF('Vika 37'!$B$5:$V$20,A57)+
COUNTIF('Vika 38'!$B$5:$V$20,A57)+
COUNTIF('Vika 39'!$B$5:$V$20,A57)+
COUNTIF('Vika 40'!$B$5:$V$20,A57)+
COUNTIF('Vika 41'!$B$5:$V$20,A57)+
COUNTIF('Vika 42'!$B$5:$V$20,A57)+
COUNTIF('Vika 43'!$B$5:$V$20,A57)+
COUNTIF('Vika 44'!$B$5:$V$20,A57)+
COUNTIF('Vika 45'!$B$5:$V$20,A57)+
COUNTIF('Vika 46'!$B$5:$V$20,A57)+
COUNTIF('Vika 47'!$B$5:$V$20,A57)+
COUNTIF('Vika 48'!$B$5:$V$20,A57)+
COUNTIF('Vika x5'!$B$5:$V$20,A57))</f>
        <v>51</v>
      </c>
      <c r="AD57" s="163" t="s">
        <v>141</v>
      </c>
      <c r="AE57" s="146">
        <v>22</v>
      </c>
      <c r="AF57" s="146">
        <v>24</v>
      </c>
    </row>
    <row r="58" spans="1:32" x14ac:dyDescent="0.2">
      <c r="A58" s="155" t="s">
        <v>211</v>
      </c>
      <c r="B58" s="172">
        <v>2</v>
      </c>
      <c r="C58" s="170">
        <f t="shared" si="15"/>
        <v>1.6465522412234006</v>
      </c>
      <c r="D58" s="170">
        <f t="shared" si="15"/>
        <v>1.8070657705985191</v>
      </c>
      <c r="E58" s="170">
        <f t="shared" si="15"/>
        <v>1.7125776219736306</v>
      </c>
      <c r="F58" s="173">
        <f t="shared" si="15"/>
        <v>1.5460797510918218</v>
      </c>
      <c r="G58" s="172">
        <f t="shared" si="15"/>
        <v>2.2626688558114303</v>
      </c>
      <c r="H58" s="170">
        <f t="shared" si="15"/>
        <v>1.8179363016957926</v>
      </c>
      <c r="I58" s="170">
        <f t="shared" si="15"/>
        <v>2.0159375840301856</v>
      </c>
      <c r="J58" s="170">
        <f t="shared" si="15"/>
        <v>1.8139289993067558</v>
      </c>
      <c r="K58" s="173">
        <f t="shared" si="15"/>
        <v>1.9073623427135047</v>
      </c>
      <c r="L58" s="172">
        <f t="shared" si="15"/>
        <v>1.7461689515752297</v>
      </c>
      <c r="M58" s="170">
        <f t="shared" si="16"/>
        <v>1.4764424876509397</v>
      </c>
      <c r="N58" s="170">
        <f t="shared" si="16"/>
        <v>1.602678522259716</v>
      </c>
      <c r="O58" s="170">
        <f t="shared" si="16"/>
        <v>1.5970503427305951</v>
      </c>
      <c r="P58" s="173">
        <f t="shared" si="16"/>
        <v>1.20285007991996</v>
      </c>
      <c r="Q58" s="172">
        <f t="shared" si="16"/>
        <v>4.9777658230559441</v>
      </c>
      <c r="R58" s="170">
        <f t="shared" si="16"/>
        <v>4.4932209840475208</v>
      </c>
      <c r="S58" s="170">
        <f t="shared" si="16"/>
        <v>4.7169300427429137</v>
      </c>
      <c r="T58" s="170">
        <f t="shared" si="16"/>
        <v>4.7027953987009372</v>
      </c>
      <c r="U58" s="174">
        <f t="shared" si="16"/>
        <v>3.988124843809417</v>
      </c>
      <c r="V58" s="175">
        <f t="shared" si="16"/>
        <v>1.3778929979236036</v>
      </c>
      <c r="W58" s="170">
        <f t="shared" si="17"/>
        <v>1.5395514601070375</v>
      </c>
      <c r="X58" s="170">
        <f t="shared" si="17"/>
        <v>1.3540838723324347</v>
      </c>
      <c r="Y58" s="170">
        <f t="shared" si="17"/>
        <v>1.9719207501978719</v>
      </c>
      <c r="Z58" s="170">
        <f t="shared" si="17"/>
        <v>2.3220562793095416</v>
      </c>
      <c r="AA58" s="170">
        <f t="shared" si="17"/>
        <v>3.2794163482316567</v>
      </c>
      <c r="AB58" s="173">
        <f t="shared" si="17"/>
        <v>2.2995852508196322</v>
      </c>
      <c r="AC58" s="170">
        <f>IF(A58="","",COUNTIF('Vika 36'!$B$5:$V$20,A58)+
COUNTIF('Vika 37'!$B$5:$V$20,A58)+
COUNTIF('Vika 38'!$B$5:$V$20,A58)+
COUNTIF('Vika 39'!$B$5:$V$20,A58)+
COUNTIF('Vika 40'!$B$5:$V$20,A58)+
COUNTIF('Vika 41'!$B$5:$V$20,A58)+
COUNTIF('Vika 42'!$B$5:$V$20,A58)+
COUNTIF('Vika 43'!$B$5:$V$20,A58)+
COUNTIF('Vika 44'!$B$5:$V$20,A58)+
COUNTIF('Vika 45'!$B$5:$V$20,A58)+
COUNTIF('Vika 46'!$B$5:$V$20,A58)+
COUNTIF('Vika 47'!$B$5:$V$20,A58)+
COUNTIF('Vika 48'!$B$5:$V$20,A58)+
COUNTIF('Vika x5'!$B$5:$V$20,A58))</f>
        <v>7</v>
      </c>
      <c r="AD58" s="163" t="s">
        <v>142</v>
      </c>
      <c r="AE58" s="146">
        <v>23</v>
      </c>
      <c r="AF58" s="146">
        <v>25</v>
      </c>
    </row>
    <row r="59" spans="1:32" x14ac:dyDescent="0.2">
      <c r="A59" s="155" t="s">
        <v>295</v>
      </c>
      <c r="B59" s="172">
        <v>2</v>
      </c>
      <c r="C59" s="170">
        <f t="shared" si="15"/>
        <v>1.6465522412234006</v>
      </c>
      <c r="D59" s="170">
        <f t="shared" si="15"/>
        <v>1.8070657705985191</v>
      </c>
      <c r="E59" s="170">
        <f t="shared" si="15"/>
        <v>1.7125776219736306</v>
      </c>
      <c r="F59" s="173">
        <f t="shared" si="15"/>
        <v>1.5460797510918218</v>
      </c>
      <c r="G59" s="172">
        <f t="shared" si="15"/>
        <v>2.2626688558114303</v>
      </c>
      <c r="H59" s="170">
        <f t="shared" si="15"/>
        <v>1.8179363016957926</v>
      </c>
      <c r="I59" s="170">
        <f t="shared" si="15"/>
        <v>2.0159375840301856</v>
      </c>
      <c r="J59" s="170">
        <f t="shared" si="15"/>
        <v>1.8139289993067558</v>
      </c>
      <c r="K59" s="173">
        <f t="shared" si="15"/>
        <v>1.9073623427135047</v>
      </c>
      <c r="L59" s="172">
        <f t="shared" si="15"/>
        <v>1.7461689515752297</v>
      </c>
      <c r="M59" s="170">
        <f t="shared" si="16"/>
        <v>1.4764424876509397</v>
      </c>
      <c r="N59" s="170">
        <f t="shared" si="16"/>
        <v>1.602678522259716</v>
      </c>
      <c r="O59" s="170">
        <f t="shared" si="16"/>
        <v>1.5970503427305951</v>
      </c>
      <c r="P59" s="173">
        <f t="shared" si="16"/>
        <v>1.20285007991996</v>
      </c>
      <c r="Q59" s="172">
        <f t="shared" si="16"/>
        <v>4.9777658230559441</v>
      </c>
      <c r="R59" s="170">
        <f t="shared" si="16"/>
        <v>4.4932209840475208</v>
      </c>
      <c r="S59" s="170">
        <f t="shared" si="16"/>
        <v>4.7169300427429137</v>
      </c>
      <c r="T59" s="170">
        <f t="shared" si="16"/>
        <v>4.7027953987009372</v>
      </c>
      <c r="U59" s="174">
        <f t="shared" si="16"/>
        <v>3.988124843809417</v>
      </c>
      <c r="V59" s="175">
        <f t="shared" si="16"/>
        <v>1.3778929979236036</v>
      </c>
      <c r="W59" s="170">
        <f t="shared" si="17"/>
        <v>1.5395514601070375</v>
      </c>
      <c r="X59" s="170">
        <f t="shared" si="17"/>
        <v>1.3540838723324347</v>
      </c>
      <c r="Y59" s="170">
        <f t="shared" si="17"/>
        <v>1.9719207501978719</v>
      </c>
      <c r="Z59" s="170">
        <f t="shared" si="17"/>
        <v>2.3220562793095416</v>
      </c>
      <c r="AA59" s="170">
        <f t="shared" si="17"/>
        <v>3.2794163482316567</v>
      </c>
      <c r="AB59" s="173">
        <f t="shared" si="17"/>
        <v>2.2995852508196322</v>
      </c>
      <c r="AC59" s="170">
        <f>IF(A59="","",COUNTIF('Vika 36'!$B$5:$V$20,A59)+
COUNTIF('Vika 37'!$B$5:$V$20,A59)+
COUNTIF('Vika 38'!$B$5:$V$20,A59)+
COUNTIF('Vika 39'!$B$5:$V$20,A59)+
COUNTIF('Vika 40'!$B$5:$V$20,A59)+
COUNTIF('Vika 41'!$B$5:$V$20,A59)+
COUNTIF('Vika 42'!$B$5:$V$20,A59)+
COUNTIF('Vika 43'!$B$5:$V$20,A59)+
COUNTIF('Vika 44'!$B$5:$V$20,A59)+
COUNTIF('Vika 45'!$B$5:$V$20,A59)+
COUNTIF('Vika 46'!$B$5:$V$20,A59)+
COUNTIF('Vika 47'!$B$5:$V$20,A59)+
COUNTIF('Vika 48'!$B$5:$V$20,A59)+
COUNTIF('Vika x5'!$B$5:$V$20,A59))</f>
        <v>2</v>
      </c>
      <c r="AD59" s="163" t="s">
        <v>143</v>
      </c>
      <c r="AE59" s="146">
        <v>24</v>
      </c>
      <c r="AF59" s="146">
        <v>26</v>
      </c>
    </row>
    <row r="60" spans="1:32" x14ac:dyDescent="0.2">
      <c r="A60" s="155" t="s">
        <v>212</v>
      </c>
      <c r="B60" s="172">
        <v>5</v>
      </c>
      <c r="C60" s="170">
        <f t="shared" si="15"/>
        <v>4.1163806030585013</v>
      </c>
      <c r="D60" s="170">
        <f t="shared" si="15"/>
        <v>4.5176644264962977</v>
      </c>
      <c r="E60" s="170">
        <f t="shared" si="15"/>
        <v>4.2814440549340764</v>
      </c>
      <c r="F60" s="173">
        <f t="shared" si="15"/>
        <v>3.8651993777295548</v>
      </c>
      <c r="G60" s="172">
        <f t="shared" si="15"/>
        <v>5.6566721395285757</v>
      </c>
      <c r="H60" s="170">
        <f t="shared" si="15"/>
        <v>4.5448407542394813</v>
      </c>
      <c r="I60" s="170">
        <f t="shared" si="15"/>
        <v>5.0398439600754639</v>
      </c>
      <c r="J60" s="170">
        <f t="shared" si="15"/>
        <v>4.5348224982668892</v>
      </c>
      <c r="K60" s="173">
        <f t="shared" si="15"/>
        <v>4.7684058567837617</v>
      </c>
      <c r="L60" s="172">
        <f t="shared" si="15"/>
        <v>4.3654223789380744</v>
      </c>
      <c r="M60" s="170">
        <f t="shared" si="16"/>
        <v>3.6911062191273492</v>
      </c>
      <c r="N60" s="170">
        <f t="shared" si="16"/>
        <v>4.0066963056492897</v>
      </c>
      <c r="O60" s="170">
        <f t="shared" si="16"/>
        <v>3.9926258568264879</v>
      </c>
      <c r="P60" s="173">
        <f t="shared" si="16"/>
        <v>3.0071251997999</v>
      </c>
      <c r="Q60" s="172">
        <f t="shared" si="16"/>
        <v>12.44441455763986</v>
      </c>
      <c r="R60" s="170">
        <f t="shared" si="16"/>
        <v>11.233052460118802</v>
      </c>
      <c r="S60" s="170">
        <f t="shared" si="16"/>
        <v>11.792325106857284</v>
      </c>
      <c r="T60" s="170">
        <f t="shared" si="16"/>
        <v>11.756988496752342</v>
      </c>
      <c r="U60" s="174">
        <f t="shared" si="16"/>
        <v>9.9703121095235421</v>
      </c>
      <c r="V60" s="175">
        <f t="shared" si="16"/>
        <v>3.444732494809009</v>
      </c>
      <c r="W60" s="170">
        <f t="shared" si="17"/>
        <v>3.8488786502675936</v>
      </c>
      <c r="X60" s="170">
        <f t="shared" si="17"/>
        <v>3.3852096808310868</v>
      </c>
      <c r="Y60" s="170">
        <f t="shared" si="17"/>
        <v>4.9298018754946797</v>
      </c>
      <c r="Z60" s="170">
        <f t="shared" si="17"/>
        <v>5.8051406982738545</v>
      </c>
      <c r="AA60" s="170">
        <f t="shared" si="17"/>
        <v>8.1985408705791425</v>
      </c>
      <c r="AB60" s="173">
        <f t="shared" si="17"/>
        <v>5.7489631270490804</v>
      </c>
      <c r="AC60" s="170">
        <f>IF(A60="","",COUNTIF('Vika 36'!$B$5:$V$20,A60)+
COUNTIF('Vika 37'!$B$5:$V$20,A60)+
COUNTIF('Vika 38'!$B$5:$V$20,A60)+
COUNTIF('Vika 39'!$B$5:$V$20,A60)+
COUNTIF('Vika 40'!$B$5:$V$20,A60)+
COUNTIF('Vika 41'!$B$5:$V$20,A60)+
COUNTIF('Vika 42'!$B$5:$V$20,A60)+
COUNTIF('Vika 43'!$B$5:$V$20,A60)+
COUNTIF('Vika 44'!$B$5:$V$20,A60)+
COUNTIF('Vika 45'!$B$5:$V$20,A60)+
COUNTIF('Vika 46'!$B$5:$V$20,A60)+
COUNTIF('Vika 47'!$B$5:$V$20,A60)+
COUNTIF('Vika 48'!$B$5:$V$20,A60)+
COUNTIF('Vika x5'!$B$5:$V$20,A60))</f>
        <v>12</v>
      </c>
      <c r="AD60" s="163" t="s">
        <v>144</v>
      </c>
      <c r="AE60" s="146">
        <v>25</v>
      </c>
      <c r="AF60" s="146">
        <v>27</v>
      </c>
    </row>
    <row r="61" spans="1:32" x14ac:dyDescent="0.2">
      <c r="A61" s="155" t="s">
        <v>218</v>
      </c>
      <c r="B61" s="172">
        <v>2</v>
      </c>
      <c r="C61" s="170">
        <f t="shared" si="15"/>
        <v>1.6465522412234006</v>
      </c>
      <c r="D61" s="170">
        <f t="shared" si="15"/>
        <v>1.8070657705985191</v>
      </c>
      <c r="E61" s="170">
        <f t="shared" si="15"/>
        <v>1.7125776219736306</v>
      </c>
      <c r="F61" s="173">
        <f t="shared" si="15"/>
        <v>1.5460797510918218</v>
      </c>
      <c r="G61" s="172">
        <f t="shared" si="15"/>
        <v>2.2626688558114303</v>
      </c>
      <c r="H61" s="170">
        <f t="shared" si="15"/>
        <v>1.8179363016957926</v>
      </c>
      <c r="I61" s="170">
        <f t="shared" si="15"/>
        <v>2.0159375840301856</v>
      </c>
      <c r="J61" s="170">
        <f t="shared" si="15"/>
        <v>1.8139289993067558</v>
      </c>
      <c r="K61" s="173">
        <f t="shared" si="15"/>
        <v>1.9073623427135047</v>
      </c>
      <c r="L61" s="172">
        <f t="shared" si="15"/>
        <v>1.7461689515752297</v>
      </c>
      <c r="M61" s="170">
        <f t="shared" si="16"/>
        <v>1.4764424876509397</v>
      </c>
      <c r="N61" s="170">
        <f t="shared" si="16"/>
        <v>1.602678522259716</v>
      </c>
      <c r="O61" s="170">
        <f t="shared" si="16"/>
        <v>1.5970503427305951</v>
      </c>
      <c r="P61" s="173">
        <f t="shared" si="16"/>
        <v>1.20285007991996</v>
      </c>
      <c r="Q61" s="172">
        <f t="shared" si="16"/>
        <v>4.9777658230559441</v>
      </c>
      <c r="R61" s="170">
        <f t="shared" si="16"/>
        <v>4.4932209840475208</v>
      </c>
      <c r="S61" s="170">
        <f t="shared" si="16"/>
        <v>4.7169300427429137</v>
      </c>
      <c r="T61" s="170">
        <f t="shared" si="16"/>
        <v>4.7027953987009372</v>
      </c>
      <c r="U61" s="174">
        <f t="shared" si="16"/>
        <v>3.988124843809417</v>
      </c>
      <c r="V61" s="175">
        <f t="shared" si="16"/>
        <v>1.3778929979236036</v>
      </c>
      <c r="W61" s="170">
        <f t="shared" si="17"/>
        <v>1.5395514601070375</v>
      </c>
      <c r="X61" s="170">
        <f t="shared" si="17"/>
        <v>1.3540838723324347</v>
      </c>
      <c r="Y61" s="170">
        <f t="shared" si="17"/>
        <v>1.9719207501978719</v>
      </c>
      <c r="Z61" s="170">
        <f t="shared" si="17"/>
        <v>2.3220562793095416</v>
      </c>
      <c r="AA61" s="170">
        <f t="shared" si="17"/>
        <v>3.2794163482316567</v>
      </c>
      <c r="AB61" s="173">
        <f t="shared" si="17"/>
        <v>2.2995852508196322</v>
      </c>
      <c r="AC61" s="170">
        <f>IF(A61="","",COUNTIF('Vika 36'!$B$5:$V$20,A61)+
COUNTIF('Vika 37'!$B$5:$V$20,A61)+
COUNTIF('Vika 38'!$B$5:$V$20,A61)+
COUNTIF('Vika 39'!$B$5:$V$20,A61)+
COUNTIF('Vika 40'!$B$5:$V$20,A61)+
COUNTIF('Vika 41'!$B$5:$V$20,A61)+
COUNTIF('Vika 42'!$B$5:$V$20,A61)+
COUNTIF('Vika 43'!$B$5:$V$20,A61)+
COUNTIF('Vika 44'!$B$5:$V$20,A61)+
COUNTIF('Vika 45'!$B$5:$V$20,A61)+
COUNTIF('Vika 46'!$B$5:$V$20,A61)+
COUNTIF('Vika 47'!$B$5:$V$20,A61)+
COUNTIF('Vika 48'!$B$5:$V$20,A61)+
COUNTIF('Vika x5'!$B$5:$V$20,A61))</f>
        <v>13</v>
      </c>
      <c r="AD61" s="163" t="s">
        <v>145</v>
      </c>
      <c r="AE61" s="146">
        <v>26</v>
      </c>
      <c r="AF61" s="146">
        <v>28</v>
      </c>
    </row>
    <row r="62" spans="1:32" x14ac:dyDescent="0.2">
      <c r="A62" s="155" t="s">
        <v>213</v>
      </c>
      <c r="B62" s="172">
        <v>2</v>
      </c>
      <c r="C62" s="170">
        <f t="shared" si="15"/>
        <v>1.6465522412234006</v>
      </c>
      <c r="D62" s="170">
        <f t="shared" si="15"/>
        <v>1.8070657705985191</v>
      </c>
      <c r="E62" s="170">
        <f t="shared" si="15"/>
        <v>1.7125776219736306</v>
      </c>
      <c r="F62" s="173">
        <f t="shared" si="15"/>
        <v>1.5460797510918218</v>
      </c>
      <c r="G62" s="172">
        <f t="shared" si="15"/>
        <v>2.2626688558114303</v>
      </c>
      <c r="H62" s="170">
        <f t="shared" si="15"/>
        <v>1.8179363016957926</v>
      </c>
      <c r="I62" s="170">
        <f t="shared" si="15"/>
        <v>2.0159375840301856</v>
      </c>
      <c r="J62" s="170">
        <f t="shared" si="15"/>
        <v>1.8139289993067558</v>
      </c>
      <c r="K62" s="173">
        <f t="shared" si="15"/>
        <v>1.9073623427135047</v>
      </c>
      <c r="L62" s="172">
        <f t="shared" si="15"/>
        <v>1.7461689515752297</v>
      </c>
      <c r="M62" s="170">
        <f t="shared" si="16"/>
        <v>1.4764424876509397</v>
      </c>
      <c r="N62" s="170">
        <f t="shared" si="16"/>
        <v>1.602678522259716</v>
      </c>
      <c r="O62" s="170">
        <f t="shared" si="16"/>
        <v>1.5970503427305951</v>
      </c>
      <c r="P62" s="173">
        <f t="shared" si="16"/>
        <v>1.20285007991996</v>
      </c>
      <c r="Q62" s="172">
        <f t="shared" si="16"/>
        <v>4.9777658230559441</v>
      </c>
      <c r="R62" s="170">
        <f t="shared" si="16"/>
        <v>4.4932209840475208</v>
      </c>
      <c r="S62" s="170">
        <f t="shared" si="16"/>
        <v>4.7169300427429137</v>
      </c>
      <c r="T62" s="170">
        <f t="shared" si="16"/>
        <v>4.7027953987009372</v>
      </c>
      <c r="U62" s="174">
        <f t="shared" si="16"/>
        <v>3.988124843809417</v>
      </c>
      <c r="V62" s="175">
        <f t="shared" si="16"/>
        <v>1.3778929979236036</v>
      </c>
      <c r="W62" s="170">
        <f t="shared" si="17"/>
        <v>1.5395514601070375</v>
      </c>
      <c r="X62" s="170">
        <f t="shared" si="17"/>
        <v>1.3540838723324347</v>
      </c>
      <c r="Y62" s="170">
        <f t="shared" si="17"/>
        <v>1.9719207501978719</v>
      </c>
      <c r="Z62" s="170">
        <f t="shared" si="17"/>
        <v>2.3220562793095416</v>
      </c>
      <c r="AA62" s="170">
        <f t="shared" si="17"/>
        <v>3.2794163482316567</v>
      </c>
      <c r="AB62" s="173">
        <f t="shared" si="17"/>
        <v>2.2995852508196322</v>
      </c>
      <c r="AC62" s="170">
        <f>IF(A62="","",COUNTIF('Vika 36'!$B$5:$V$20,A62)+
COUNTIF('Vika 37'!$B$5:$V$20,A62)+
COUNTIF('Vika 38'!$B$5:$V$20,A62)+
COUNTIF('Vika 39'!$B$5:$V$20,A62)+
COUNTIF('Vika 40'!$B$5:$V$20,A62)+
COUNTIF('Vika 41'!$B$5:$V$20,A62)+
COUNTIF('Vika 42'!$B$5:$V$20,A62)+
COUNTIF('Vika 43'!$B$5:$V$20,A62)+
COUNTIF('Vika 44'!$B$5:$V$20,A62)+
COUNTIF('Vika 45'!$B$5:$V$20,A62)+
COUNTIF('Vika 46'!$B$5:$V$20,A62)+
COUNTIF('Vika 47'!$B$5:$V$20,A62)+
COUNTIF('Vika 48'!$B$5:$V$20,A62)+
COUNTIF('Vika x5'!$B$5:$V$20,A62))</f>
        <v>6</v>
      </c>
      <c r="AD62" s="163" t="s">
        <v>146</v>
      </c>
      <c r="AE62" s="146">
        <v>27</v>
      </c>
      <c r="AF62" s="146">
        <v>29</v>
      </c>
    </row>
    <row r="63" spans="1:32" x14ac:dyDescent="0.2">
      <c r="A63" s="155" t="s">
        <v>243</v>
      </c>
      <c r="B63" s="172">
        <v>2</v>
      </c>
      <c r="C63" s="170">
        <f t="shared" ref="C63:L72" si="18">IF(OR($B63="-",$B63=""),"-",$B63*C$203)</f>
        <v>1.6465522412234006</v>
      </c>
      <c r="D63" s="170">
        <f t="shared" si="18"/>
        <v>1.8070657705985191</v>
      </c>
      <c r="E63" s="170">
        <f t="shared" si="18"/>
        <v>1.7125776219736306</v>
      </c>
      <c r="F63" s="173">
        <f t="shared" si="18"/>
        <v>1.5460797510918218</v>
      </c>
      <c r="G63" s="172">
        <f t="shared" si="18"/>
        <v>2.2626688558114303</v>
      </c>
      <c r="H63" s="170">
        <f t="shared" si="18"/>
        <v>1.8179363016957926</v>
      </c>
      <c r="I63" s="170">
        <f t="shared" si="18"/>
        <v>2.0159375840301856</v>
      </c>
      <c r="J63" s="170">
        <f t="shared" si="18"/>
        <v>1.8139289993067558</v>
      </c>
      <c r="K63" s="173">
        <f t="shared" si="18"/>
        <v>1.9073623427135047</v>
      </c>
      <c r="L63" s="172">
        <f t="shared" si="18"/>
        <v>1.7461689515752297</v>
      </c>
      <c r="M63" s="170">
        <f t="shared" ref="M63:V72" si="19">IF(OR($B63="-",$B63=""),"-",$B63*M$203)</f>
        <v>1.4764424876509397</v>
      </c>
      <c r="N63" s="170">
        <f t="shared" si="19"/>
        <v>1.602678522259716</v>
      </c>
      <c r="O63" s="170">
        <f t="shared" si="19"/>
        <v>1.5970503427305951</v>
      </c>
      <c r="P63" s="173">
        <f t="shared" si="19"/>
        <v>1.20285007991996</v>
      </c>
      <c r="Q63" s="172">
        <f t="shared" si="19"/>
        <v>4.9777658230559441</v>
      </c>
      <c r="R63" s="170">
        <f t="shared" si="19"/>
        <v>4.4932209840475208</v>
      </c>
      <c r="S63" s="170">
        <f t="shared" si="19"/>
        <v>4.7169300427429137</v>
      </c>
      <c r="T63" s="170">
        <f t="shared" si="19"/>
        <v>4.7027953987009372</v>
      </c>
      <c r="U63" s="174">
        <f t="shared" si="19"/>
        <v>3.988124843809417</v>
      </c>
      <c r="V63" s="175">
        <f t="shared" si="19"/>
        <v>1.3778929979236036</v>
      </c>
      <c r="W63" s="170">
        <f t="shared" ref="W63:AB72" si="20">IF(OR($B63="-",$B63=""),"-",$B63*W$203)</f>
        <v>1.5395514601070375</v>
      </c>
      <c r="X63" s="170">
        <f t="shared" si="20"/>
        <v>1.3540838723324347</v>
      </c>
      <c r="Y63" s="170">
        <f t="shared" si="20"/>
        <v>1.9719207501978719</v>
      </c>
      <c r="Z63" s="170">
        <f t="shared" si="20"/>
        <v>2.3220562793095416</v>
      </c>
      <c r="AA63" s="170">
        <f t="shared" si="20"/>
        <v>3.2794163482316567</v>
      </c>
      <c r="AB63" s="173">
        <f t="shared" si="20"/>
        <v>2.2995852508196322</v>
      </c>
      <c r="AC63" s="170">
        <f>IF(A63="","",COUNTIF('Vika 36'!$B$5:$V$20,A63)+
COUNTIF('Vika 37'!$B$5:$V$20,A63)+
COUNTIF('Vika 38'!$B$5:$V$20,A63)+
COUNTIF('Vika 39'!$B$5:$V$20,A63)+
COUNTIF('Vika 40'!$B$5:$V$20,A63)+
COUNTIF('Vika 41'!$B$5:$V$20,A63)+
COUNTIF('Vika 42'!$B$5:$V$20,A63)+
COUNTIF('Vika 43'!$B$5:$V$20,A63)+
COUNTIF('Vika 44'!$B$5:$V$20,A63)+
COUNTIF('Vika 45'!$B$5:$V$20,A63)+
COUNTIF('Vika 46'!$B$5:$V$20,A63)+
COUNTIF('Vika 47'!$B$5:$V$20,A63)+
COUNTIF('Vika 48'!$B$5:$V$20,A63)+
COUNTIF('Vika x5'!$B$5:$V$20,A63))</f>
        <v>7</v>
      </c>
      <c r="AD63" s="162" t="s">
        <v>147</v>
      </c>
      <c r="AE63" s="146">
        <v>28</v>
      </c>
      <c r="AF63" s="146">
        <v>30</v>
      </c>
    </row>
    <row r="64" spans="1:32" x14ac:dyDescent="0.2">
      <c r="A64" s="155" t="s">
        <v>305</v>
      </c>
      <c r="B64" s="172">
        <v>2</v>
      </c>
      <c r="C64" s="170">
        <f t="shared" si="18"/>
        <v>1.6465522412234006</v>
      </c>
      <c r="D64" s="170">
        <f t="shared" si="18"/>
        <v>1.8070657705985191</v>
      </c>
      <c r="E64" s="170">
        <f t="shared" si="18"/>
        <v>1.7125776219736306</v>
      </c>
      <c r="F64" s="173">
        <f t="shared" si="18"/>
        <v>1.5460797510918218</v>
      </c>
      <c r="G64" s="172">
        <f t="shared" si="18"/>
        <v>2.2626688558114303</v>
      </c>
      <c r="H64" s="170">
        <f t="shared" si="18"/>
        <v>1.8179363016957926</v>
      </c>
      <c r="I64" s="170">
        <f t="shared" si="18"/>
        <v>2.0159375840301856</v>
      </c>
      <c r="J64" s="170">
        <f t="shared" si="18"/>
        <v>1.8139289993067558</v>
      </c>
      <c r="K64" s="173">
        <f t="shared" si="18"/>
        <v>1.9073623427135047</v>
      </c>
      <c r="L64" s="172">
        <f t="shared" si="18"/>
        <v>1.7461689515752297</v>
      </c>
      <c r="M64" s="170">
        <f t="shared" si="19"/>
        <v>1.4764424876509397</v>
      </c>
      <c r="N64" s="170">
        <f t="shared" si="19"/>
        <v>1.602678522259716</v>
      </c>
      <c r="O64" s="170">
        <f t="shared" si="19"/>
        <v>1.5970503427305951</v>
      </c>
      <c r="P64" s="173">
        <f t="shared" si="19"/>
        <v>1.20285007991996</v>
      </c>
      <c r="Q64" s="172">
        <f t="shared" si="19"/>
        <v>4.9777658230559441</v>
      </c>
      <c r="R64" s="170">
        <f t="shared" si="19"/>
        <v>4.4932209840475208</v>
      </c>
      <c r="S64" s="170">
        <f t="shared" si="19"/>
        <v>4.7169300427429137</v>
      </c>
      <c r="T64" s="170">
        <f t="shared" si="19"/>
        <v>4.7027953987009372</v>
      </c>
      <c r="U64" s="174">
        <f t="shared" si="19"/>
        <v>3.988124843809417</v>
      </c>
      <c r="V64" s="175">
        <f t="shared" si="19"/>
        <v>1.3778929979236036</v>
      </c>
      <c r="W64" s="170">
        <f t="shared" si="20"/>
        <v>1.5395514601070375</v>
      </c>
      <c r="X64" s="170">
        <f t="shared" si="20"/>
        <v>1.3540838723324347</v>
      </c>
      <c r="Y64" s="170">
        <f t="shared" si="20"/>
        <v>1.9719207501978719</v>
      </c>
      <c r="Z64" s="170">
        <f t="shared" si="20"/>
        <v>2.3220562793095416</v>
      </c>
      <c r="AA64" s="170">
        <f t="shared" si="20"/>
        <v>3.2794163482316567</v>
      </c>
      <c r="AB64" s="173">
        <f t="shared" si="20"/>
        <v>2.2995852508196322</v>
      </c>
      <c r="AC64" s="170">
        <f>IF(A64="","",COUNTIF('Vika 36'!$B$5:$V$20,A64)+
COUNTIF('Vika 37'!$B$5:$V$20,A64)+
COUNTIF('Vika 38'!$B$5:$V$20,A64)+
COUNTIF('Vika 39'!$B$5:$V$20,A64)+
COUNTIF('Vika 40'!$B$5:$V$20,A64)+
COUNTIF('Vika 41'!$B$5:$V$20,A64)+
COUNTIF('Vika 42'!$B$5:$V$20,A64)+
COUNTIF('Vika 43'!$B$5:$V$20,A64)+
COUNTIF('Vika 44'!$B$5:$V$20,A64)+
COUNTIF('Vika 45'!$B$5:$V$20,A64)+
COUNTIF('Vika 46'!$B$5:$V$20,A64)+
COUNTIF('Vika 47'!$B$5:$V$20,A64)+
COUNTIF('Vika 48'!$B$5:$V$20,A64)+
COUNTIF('Vika x5'!$B$5:$V$20,A64))</f>
        <v>1</v>
      </c>
    </row>
    <row r="65" spans="1:30" x14ac:dyDescent="0.2">
      <c r="A65" s="155" t="s">
        <v>227</v>
      </c>
      <c r="B65" s="172">
        <v>3</v>
      </c>
      <c r="C65" s="170">
        <f t="shared" si="18"/>
        <v>2.4698283618351011</v>
      </c>
      <c r="D65" s="170">
        <f t="shared" si="18"/>
        <v>2.7105986558977788</v>
      </c>
      <c r="E65" s="170">
        <f t="shared" si="18"/>
        <v>2.568866432960446</v>
      </c>
      <c r="F65" s="173">
        <f t="shared" si="18"/>
        <v>2.3191196266377325</v>
      </c>
      <c r="G65" s="172">
        <f t="shared" si="18"/>
        <v>3.3940032837171454</v>
      </c>
      <c r="H65" s="170">
        <f t="shared" si="18"/>
        <v>2.726904452543689</v>
      </c>
      <c r="I65" s="170">
        <f t="shared" si="18"/>
        <v>3.0239063760452787</v>
      </c>
      <c r="J65" s="170">
        <f t="shared" si="18"/>
        <v>2.7208934989601339</v>
      </c>
      <c r="K65" s="173">
        <f t="shared" si="18"/>
        <v>2.861043514070257</v>
      </c>
      <c r="L65" s="172">
        <f t="shared" si="18"/>
        <v>2.6192534273628443</v>
      </c>
      <c r="M65" s="170">
        <f t="shared" si="19"/>
        <v>2.2146637314764095</v>
      </c>
      <c r="N65" s="170">
        <f t="shared" si="19"/>
        <v>2.4040177833895742</v>
      </c>
      <c r="O65" s="170">
        <f t="shared" si="19"/>
        <v>2.3955755140958925</v>
      </c>
      <c r="P65" s="173">
        <f t="shared" si="19"/>
        <v>1.8042751198799398</v>
      </c>
      <c r="Q65" s="172">
        <f t="shared" si="19"/>
        <v>7.4666487345839165</v>
      </c>
      <c r="R65" s="170">
        <f t="shared" si="19"/>
        <v>6.7398314760712807</v>
      </c>
      <c r="S65" s="170">
        <f t="shared" si="19"/>
        <v>7.075395064114371</v>
      </c>
      <c r="T65" s="170">
        <f t="shared" si="19"/>
        <v>7.0541930980514058</v>
      </c>
      <c r="U65" s="174">
        <f t="shared" si="19"/>
        <v>5.982187265714126</v>
      </c>
      <c r="V65" s="175">
        <f t="shared" si="19"/>
        <v>2.0668394968854056</v>
      </c>
      <c r="W65" s="170">
        <f t="shared" si="20"/>
        <v>2.3093271901605563</v>
      </c>
      <c r="X65" s="170">
        <f t="shared" si="20"/>
        <v>2.0311258084986519</v>
      </c>
      <c r="Y65" s="170">
        <f t="shared" si="20"/>
        <v>2.957881125296808</v>
      </c>
      <c r="Z65" s="170">
        <f t="shared" si="20"/>
        <v>3.4830844189643124</v>
      </c>
      <c r="AA65" s="170">
        <f t="shared" si="20"/>
        <v>4.9191245223474853</v>
      </c>
      <c r="AB65" s="173">
        <f t="shared" si="20"/>
        <v>3.4493778762294482</v>
      </c>
      <c r="AC65" s="170">
        <f>IF(A65="","",COUNTIF('Vika 36'!$B$5:$V$20,A65)+
COUNTIF('Vika 37'!$B$5:$V$20,A65)+
COUNTIF('Vika 38'!$B$5:$V$20,A65)+
COUNTIF('Vika 39'!$B$5:$V$20,A65)+
COUNTIF('Vika 40'!$B$5:$V$20,A65)+
COUNTIF('Vika 41'!$B$5:$V$20,A65)+
COUNTIF('Vika 42'!$B$5:$V$20,A65)+
COUNTIF('Vika 43'!$B$5:$V$20,A65)+
COUNTIF('Vika 44'!$B$5:$V$20,A65)+
COUNTIF('Vika 45'!$B$5:$V$20,A65)+
COUNTIF('Vika 46'!$B$5:$V$20,A65)+
COUNTIF('Vika 47'!$B$5:$V$20,A65)+
COUNTIF('Vika 48'!$B$5:$V$20,A65)+
COUNTIF('Vika x5'!$B$5:$V$20,A65))</f>
        <v>9</v>
      </c>
      <c r="AD65" s="157"/>
    </row>
    <row r="66" spans="1:30" x14ac:dyDescent="0.2">
      <c r="A66" s="155" t="s">
        <v>184</v>
      </c>
      <c r="B66" s="172">
        <v>2</v>
      </c>
      <c r="C66" s="170">
        <f t="shared" si="18"/>
        <v>1.6465522412234006</v>
      </c>
      <c r="D66" s="170">
        <f t="shared" si="18"/>
        <v>1.8070657705985191</v>
      </c>
      <c r="E66" s="170">
        <f t="shared" si="18"/>
        <v>1.7125776219736306</v>
      </c>
      <c r="F66" s="173">
        <f t="shared" si="18"/>
        <v>1.5460797510918218</v>
      </c>
      <c r="G66" s="172">
        <f t="shared" si="18"/>
        <v>2.2626688558114303</v>
      </c>
      <c r="H66" s="170">
        <f t="shared" si="18"/>
        <v>1.8179363016957926</v>
      </c>
      <c r="I66" s="170">
        <f t="shared" si="18"/>
        <v>2.0159375840301856</v>
      </c>
      <c r="J66" s="170">
        <f t="shared" si="18"/>
        <v>1.8139289993067558</v>
      </c>
      <c r="K66" s="173">
        <f t="shared" si="18"/>
        <v>1.9073623427135047</v>
      </c>
      <c r="L66" s="172">
        <f t="shared" si="18"/>
        <v>1.7461689515752297</v>
      </c>
      <c r="M66" s="170">
        <f t="shared" si="19"/>
        <v>1.4764424876509397</v>
      </c>
      <c r="N66" s="170">
        <f t="shared" si="19"/>
        <v>1.602678522259716</v>
      </c>
      <c r="O66" s="170">
        <f t="shared" si="19"/>
        <v>1.5970503427305951</v>
      </c>
      <c r="P66" s="173">
        <f t="shared" si="19"/>
        <v>1.20285007991996</v>
      </c>
      <c r="Q66" s="172">
        <f t="shared" si="19"/>
        <v>4.9777658230559441</v>
      </c>
      <c r="R66" s="170">
        <f t="shared" si="19"/>
        <v>4.4932209840475208</v>
      </c>
      <c r="S66" s="170">
        <f t="shared" si="19"/>
        <v>4.7169300427429137</v>
      </c>
      <c r="T66" s="170">
        <f t="shared" si="19"/>
        <v>4.7027953987009372</v>
      </c>
      <c r="U66" s="174">
        <f t="shared" si="19"/>
        <v>3.988124843809417</v>
      </c>
      <c r="V66" s="175">
        <f t="shared" si="19"/>
        <v>1.3778929979236036</v>
      </c>
      <c r="W66" s="170">
        <f t="shared" si="20"/>
        <v>1.5395514601070375</v>
      </c>
      <c r="X66" s="170">
        <f t="shared" si="20"/>
        <v>1.3540838723324347</v>
      </c>
      <c r="Y66" s="170">
        <f t="shared" si="20"/>
        <v>1.9719207501978719</v>
      </c>
      <c r="Z66" s="170">
        <f t="shared" si="20"/>
        <v>2.3220562793095416</v>
      </c>
      <c r="AA66" s="170">
        <f t="shared" si="20"/>
        <v>3.2794163482316567</v>
      </c>
      <c r="AB66" s="173">
        <f t="shared" si="20"/>
        <v>2.2995852508196322</v>
      </c>
      <c r="AC66" s="170">
        <f>IF(A66="","",COUNTIF('Vika 36'!$B$5:$V$20,A66)+
COUNTIF('Vika 37'!$B$5:$V$20,A66)+
COUNTIF('Vika 38'!$B$5:$V$20,A66)+
COUNTIF('Vika 39'!$B$5:$V$20,A66)+
COUNTIF('Vika 40'!$B$5:$V$20,A66)+
COUNTIF('Vika 41'!$B$5:$V$20,A66)+
COUNTIF('Vika 42'!$B$5:$V$20,A66)+
COUNTIF('Vika 43'!$B$5:$V$20,A66)+
COUNTIF('Vika 44'!$B$5:$V$20,A66)+
COUNTIF('Vika 45'!$B$5:$V$20,A66)+
COUNTIF('Vika 46'!$B$5:$V$20,A66)+
COUNTIF('Vika 47'!$B$5:$V$20,A66)+
COUNTIF('Vika 48'!$B$5:$V$20,A66)+
COUNTIF('Vika x5'!$B$5:$V$20,A66))</f>
        <v>6</v>
      </c>
    </row>
    <row r="67" spans="1:30" x14ac:dyDescent="0.2">
      <c r="A67" s="155" t="s">
        <v>300</v>
      </c>
      <c r="B67" s="172">
        <v>2</v>
      </c>
      <c r="C67" s="170">
        <f t="shared" si="18"/>
        <v>1.6465522412234006</v>
      </c>
      <c r="D67" s="170">
        <f t="shared" si="18"/>
        <v>1.8070657705985191</v>
      </c>
      <c r="E67" s="170">
        <f t="shared" si="18"/>
        <v>1.7125776219736306</v>
      </c>
      <c r="F67" s="173">
        <f t="shared" si="18"/>
        <v>1.5460797510918218</v>
      </c>
      <c r="G67" s="172">
        <f t="shared" si="18"/>
        <v>2.2626688558114303</v>
      </c>
      <c r="H67" s="170">
        <f t="shared" si="18"/>
        <v>1.8179363016957926</v>
      </c>
      <c r="I67" s="170">
        <f t="shared" si="18"/>
        <v>2.0159375840301856</v>
      </c>
      <c r="J67" s="170">
        <f t="shared" si="18"/>
        <v>1.8139289993067558</v>
      </c>
      <c r="K67" s="173">
        <f t="shared" si="18"/>
        <v>1.9073623427135047</v>
      </c>
      <c r="L67" s="172">
        <f t="shared" si="18"/>
        <v>1.7461689515752297</v>
      </c>
      <c r="M67" s="170">
        <f t="shared" si="19"/>
        <v>1.4764424876509397</v>
      </c>
      <c r="N67" s="170">
        <f t="shared" si="19"/>
        <v>1.602678522259716</v>
      </c>
      <c r="O67" s="170">
        <f t="shared" si="19"/>
        <v>1.5970503427305951</v>
      </c>
      <c r="P67" s="173">
        <f t="shared" si="19"/>
        <v>1.20285007991996</v>
      </c>
      <c r="Q67" s="172">
        <f t="shared" si="19"/>
        <v>4.9777658230559441</v>
      </c>
      <c r="R67" s="170">
        <f t="shared" si="19"/>
        <v>4.4932209840475208</v>
      </c>
      <c r="S67" s="170">
        <f t="shared" si="19"/>
        <v>4.7169300427429137</v>
      </c>
      <c r="T67" s="170">
        <f t="shared" si="19"/>
        <v>4.7027953987009372</v>
      </c>
      <c r="U67" s="174">
        <f t="shared" si="19"/>
        <v>3.988124843809417</v>
      </c>
      <c r="V67" s="175">
        <f t="shared" si="19"/>
        <v>1.3778929979236036</v>
      </c>
      <c r="W67" s="170">
        <f t="shared" si="20"/>
        <v>1.5395514601070375</v>
      </c>
      <c r="X67" s="170">
        <f t="shared" si="20"/>
        <v>1.3540838723324347</v>
      </c>
      <c r="Y67" s="170">
        <f t="shared" si="20"/>
        <v>1.9719207501978719</v>
      </c>
      <c r="Z67" s="170">
        <f t="shared" si="20"/>
        <v>2.3220562793095416</v>
      </c>
      <c r="AA67" s="170">
        <f t="shared" si="20"/>
        <v>3.2794163482316567</v>
      </c>
      <c r="AB67" s="173">
        <f t="shared" si="20"/>
        <v>2.2995852508196322</v>
      </c>
      <c r="AC67" s="170">
        <f>IF(A67="","",COUNTIF('Vika 36'!$B$5:$V$20,A67)+
COUNTIF('Vika 37'!$B$5:$V$20,A67)+
COUNTIF('Vika 38'!$B$5:$V$20,A67)+
COUNTIF('Vika 39'!$B$5:$V$20,A67)+
COUNTIF('Vika 40'!$B$5:$V$20,A67)+
COUNTIF('Vika 41'!$B$5:$V$20,A67)+
COUNTIF('Vika 42'!$B$5:$V$20,A67)+
COUNTIF('Vika 43'!$B$5:$V$20,A67)+
COUNTIF('Vika 44'!$B$5:$V$20,A67)+
COUNTIF('Vika 45'!$B$5:$V$20,A67)+
COUNTIF('Vika 46'!$B$5:$V$20,A67)+
COUNTIF('Vika 47'!$B$5:$V$20,A67)+
COUNTIF('Vika 48'!$B$5:$V$20,A67)+
COUNTIF('Vika x5'!$B$5:$V$20,A67))</f>
        <v>2</v>
      </c>
    </row>
    <row r="68" spans="1:30" x14ac:dyDescent="0.2">
      <c r="A68" s="155" t="s">
        <v>277</v>
      </c>
      <c r="B68" s="172">
        <v>2</v>
      </c>
      <c r="C68" s="170">
        <f t="shared" si="18"/>
        <v>1.6465522412234006</v>
      </c>
      <c r="D68" s="170">
        <f t="shared" si="18"/>
        <v>1.8070657705985191</v>
      </c>
      <c r="E68" s="170">
        <f t="shared" si="18"/>
        <v>1.7125776219736306</v>
      </c>
      <c r="F68" s="173">
        <f t="shared" si="18"/>
        <v>1.5460797510918218</v>
      </c>
      <c r="G68" s="172">
        <f t="shared" si="18"/>
        <v>2.2626688558114303</v>
      </c>
      <c r="H68" s="170">
        <f t="shared" si="18"/>
        <v>1.8179363016957926</v>
      </c>
      <c r="I68" s="170">
        <f t="shared" si="18"/>
        <v>2.0159375840301856</v>
      </c>
      <c r="J68" s="170">
        <f t="shared" si="18"/>
        <v>1.8139289993067558</v>
      </c>
      <c r="K68" s="173">
        <f t="shared" si="18"/>
        <v>1.9073623427135047</v>
      </c>
      <c r="L68" s="172">
        <f t="shared" si="18"/>
        <v>1.7461689515752297</v>
      </c>
      <c r="M68" s="170">
        <f t="shared" si="19"/>
        <v>1.4764424876509397</v>
      </c>
      <c r="N68" s="170">
        <f t="shared" si="19"/>
        <v>1.602678522259716</v>
      </c>
      <c r="O68" s="170">
        <f t="shared" si="19"/>
        <v>1.5970503427305951</v>
      </c>
      <c r="P68" s="173">
        <f t="shared" si="19"/>
        <v>1.20285007991996</v>
      </c>
      <c r="Q68" s="172">
        <f t="shared" si="19"/>
        <v>4.9777658230559441</v>
      </c>
      <c r="R68" s="170">
        <f t="shared" si="19"/>
        <v>4.4932209840475208</v>
      </c>
      <c r="S68" s="170">
        <f t="shared" si="19"/>
        <v>4.7169300427429137</v>
      </c>
      <c r="T68" s="170">
        <f t="shared" si="19"/>
        <v>4.7027953987009372</v>
      </c>
      <c r="U68" s="174">
        <f t="shared" si="19"/>
        <v>3.988124843809417</v>
      </c>
      <c r="V68" s="175">
        <f t="shared" si="19"/>
        <v>1.3778929979236036</v>
      </c>
      <c r="W68" s="170">
        <f t="shared" si="20"/>
        <v>1.5395514601070375</v>
      </c>
      <c r="X68" s="170">
        <f t="shared" si="20"/>
        <v>1.3540838723324347</v>
      </c>
      <c r="Y68" s="170">
        <f t="shared" si="20"/>
        <v>1.9719207501978719</v>
      </c>
      <c r="Z68" s="170">
        <f t="shared" si="20"/>
        <v>2.3220562793095416</v>
      </c>
      <c r="AA68" s="170">
        <f t="shared" si="20"/>
        <v>3.2794163482316567</v>
      </c>
      <c r="AB68" s="173">
        <f t="shared" si="20"/>
        <v>2.2995852508196322</v>
      </c>
      <c r="AC68" s="170">
        <f>IF(A68="","",COUNTIF('Vika 36'!$B$5:$V$20,A68)+
COUNTIF('Vika 37'!$B$5:$V$20,A68)+
COUNTIF('Vika 38'!$B$5:$V$20,A68)+
COUNTIF('Vika 39'!$B$5:$V$20,A68)+
COUNTIF('Vika 40'!$B$5:$V$20,A68)+
COUNTIF('Vika 41'!$B$5:$V$20,A68)+
COUNTIF('Vika 42'!$B$5:$V$20,A68)+
COUNTIF('Vika 43'!$B$5:$V$20,A68)+
COUNTIF('Vika 44'!$B$5:$V$20,A68)+
COUNTIF('Vika 45'!$B$5:$V$20,A68)+
COUNTIF('Vika 46'!$B$5:$V$20,A68)+
COUNTIF('Vika 47'!$B$5:$V$20,A68)+
COUNTIF('Vika 48'!$B$5:$V$20,A68)+
COUNTIF('Vika x5'!$B$5:$V$20,A68))</f>
        <v>34</v>
      </c>
    </row>
    <row r="69" spans="1:30" x14ac:dyDescent="0.2">
      <c r="A69" s="155" t="s">
        <v>304</v>
      </c>
      <c r="B69" s="172" t="s">
        <v>109</v>
      </c>
      <c r="C69" s="170" t="str">
        <f t="shared" si="18"/>
        <v>-</v>
      </c>
      <c r="D69" s="170" t="str">
        <f t="shared" si="18"/>
        <v>-</v>
      </c>
      <c r="E69" s="170" t="str">
        <f t="shared" si="18"/>
        <v>-</v>
      </c>
      <c r="F69" s="173" t="str">
        <f t="shared" si="18"/>
        <v>-</v>
      </c>
      <c r="G69" s="172" t="str">
        <f t="shared" si="18"/>
        <v>-</v>
      </c>
      <c r="H69" s="170" t="str">
        <f t="shared" si="18"/>
        <v>-</v>
      </c>
      <c r="I69" s="170" t="str">
        <f t="shared" si="18"/>
        <v>-</v>
      </c>
      <c r="J69" s="170" t="str">
        <f t="shared" si="18"/>
        <v>-</v>
      </c>
      <c r="K69" s="173" t="str">
        <f t="shared" si="18"/>
        <v>-</v>
      </c>
      <c r="L69" s="172" t="str">
        <f t="shared" si="18"/>
        <v>-</v>
      </c>
      <c r="M69" s="170" t="str">
        <f t="shared" si="19"/>
        <v>-</v>
      </c>
      <c r="N69" s="170" t="str">
        <f t="shared" si="19"/>
        <v>-</v>
      </c>
      <c r="O69" s="170" t="str">
        <f t="shared" si="19"/>
        <v>-</v>
      </c>
      <c r="P69" s="173" t="str">
        <f t="shared" si="19"/>
        <v>-</v>
      </c>
      <c r="Q69" s="172" t="str">
        <f t="shared" si="19"/>
        <v>-</v>
      </c>
      <c r="R69" s="170" t="str">
        <f t="shared" si="19"/>
        <v>-</v>
      </c>
      <c r="S69" s="170" t="str">
        <f t="shared" si="19"/>
        <v>-</v>
      </c>
      <c r="T69" s="170" t="str">
        <f t="shared" si="19"/>
        <v>-</v>
      </c>
      <c r="U69" s="174" t="str">
        <f t="shared" si="19"/>
        <v>-</v>
      </c>
      <c r="V69" s="175" t="str">
        <f t="shared" si="19"/>
        <v>-</v>
      </c>
      <c r="W69" s="170" t="str">
        <f t="shared" si="20"/>
        <v>-</v>
      </c>
      <c r="X69" s="170" t="str">
        <f t="shared" si="20"/>
        <v>-</v>
      </c>
      <c r="Y69" s="170" t="str">
        <f t="shared" si="20"/>
        <v>-</v>
      </c>
      <c r="Z69" s="170" t="str">
        <f t="shared" si="20"/>
        <v>-</v>
      </c>
      <c r="AA69" s="170" t="str">
        <f t="shared" si="20"/>
        <v>-</v>
      </c>
      <c r="AB69" s="173" t="str">
        <f t="shared" si="20"/>
        <v>-</v>
      </c>
      <c r="AC69" s="170">
        <f>IF(A69="","",COUNTIF('Vika 36'!$B$5:$V$20,A69)+
COUNTIF('Vika 37'!$B$5:$V$20,A69)+
COUNTIF('Vika 38'!$B$5:$V$20,A69)+
COUNTIF('Vika 39'!$B$5:$V$20,A69)+
COUNTIF('Vika 40'!$B$5:$V$20,A69)+
COUNTIF('Vika 41'!$B$5:$V$20,A69)+
COUNTIF('Vika 42'!$B$5:$V$20,A69)+
COUNTIF('Vika 43'!$B$5:$V$20,A69)+
COUNTIF('Vika 44'!$B$5:$V$20,A69)+
COUNTIF('Vika 45'!$B$5:$V$20,A69)+
COUNTIF('Vika 46'!$B$5:$V$20,A69)+
COUNTIF('Vika 47'!$B$5:$V$20,A69)+
COUNTIF('Vika 48'!$B$5:$V$20,A69)+
COUNTIF('Vika x5'!$B$5:$V$20,A69))</f>
        <v>1</v>
      </c>
    </row>
    <row r="70" spans="1:30" x14ac:dyDescent="0.2">
      <c r="A70" s="155" t="s">
        <v>195</v>
      </c>
      <c r="B70" s="172">
        <v>2</v>
      </c>
      <c r="C70" s="170">
        <f t="shared" si="18"/>
        <v>1.6465522412234006</v>
      </c>
      <c r="D70" s="170">
        <f t="shared" si="18"/>
        <v>1.8070657705985191</v>
      </c>
      <c r="E70" s="170">
        <f t="shared" si="18"/>
        <v>1.7125776219736306</v>
      </c>
      <c r="F70" s="173">
        <f t="shared" si="18"/>
        <v>1.5460797510918218</v>
      </c>
      <c r="G70" s="172">
        <f t="shared" si="18"/>
        <v>2.2626688558114303</v>
      </c>
      <c r="H70" s="170">
        <f t="shared" si="18"/>
        <v>1.8179363016957926</v>
      </c>
      <c r="I70" s="170">
        <f t="shared" si="18"/>
        <v>2.0159375840301856</v>
      </c>
      <c r="J70" s="170">
        <f t="shared" si="18"/>
        <v>1.8139289993067558</v>
      </c>
      <c r="K70" s="173">
        <f t="shared" si="18"/>
        <v>1.9073623427135047</v>
      </c>
      <c r="L70" s="172">
        <f t="shared" si="18"/>
        <v>1.7461689515752297</v>
      </c>
      <c r="M70" s="170">
        <f t="shared" si="19"/>
        <v>1.4764424876509397</v>
      </c>
      <c r="N70" s="170">
        <f t="shared" si="19"/>
        <v>1.602678522259716</v>
      </c>
      <c r="O70" s="170">
        <f t="shared" si="19"/>
        <v>1.5970503427305951</v>
      </c>
      <c r="P70" s="173">
        <f t="shared" si="19"/>
        <v>1.20285007991996</v>
      </c>
      <c r="Q70" s="172">
        <f t="shared" si="19"/>
        <v>4.9777658230559441</v>
      </c>
      <c r="R70" s="170">
        <f t="shared" si="19"/>
        <v>4.4932209840475208</v>
      </c>
      <c r="S70" s="170">
        <f t="shared" si="19"/>
        <v>4.7169300427429137</v>
      </c>
      <c r="T70" s="170">
        <f t="shared" si="19"/>
        <v>4.7027953987009372</v>
      </c>
      <c r="U70" s="174">
        <f t="shared" si="19"/>
        <v>3.988124843809417</v>
      </c>
      <c r="V70" s="175">
        <f t="shared" si="19"/>
        <v>1.3778929979236036</v>
      </c>
      <c r="W70" s="170">
        <f t="shared" si="20"/>
        <v>1.5395514601070375</v>
      </c>
      <c r="X70" s="170">
        <f t="shared" si="20"/>
        <v>1.3540838723324347</v>
      </c>
      <c r="Y70" s="170">
        <f t="shared" si="20"/>
        <v>1.9719207501978719</v>
      </c>
      <c r="Z70" s="170">
        <f t="shared" si="20"/>
        <v>2.3220562793095416</v>
      </c>
      <c r="AA70" s="170">
        <f t="shared" si="20"/>
        <v>3.2794163482316567</v>
      </c>
      <c r="AB70" s="173">
        <f t="shared" si="20"/>
        <v>2.2995852508196322</v>
      </c>
      <c r="AC70" s="170">
        <f>IF(A70="","",COUNTIF('Vika 36'!$B$5:$V$20,A70)+
COUNTIF('Vika 37'!$B$5:$V$20,A70)+
COUNTIF('Vika 38'!$B$5:$V$20,A70)+
COUNTIF('Vika 39'!$B$5:$V$20,A70)+
COUNTIF('Vika 40'!$B$5:$V$20,A70)+
COUNTIF('Vika 41'!$B$5:$V$20,A70)+
COUNTIF('Vika 42'!$B$5:$V$20,A70)+
COUNTIF('Vika 43'!$B$5:$V$20,A70)+
COUNTIF('Vika 44'!$B$5:$V$20,A70)+
COUNTIF('Vika 45'!$B$5:$V$20,A70)+
COUNTIF('Vika 46'!$B$5:$V$20,A70)+
COUNTIF('Vika 47'!$B$5:$V$20,A70)+
COUNTIF('Vika 48'!$B$5:$V$20,A70)+
COUNTIF('Vika x5'!$B$5:$V$20,A70))</f>
        <v>9</v>
      </c>
    </row>
    <row r="71" spans="1:30" x14ac:dyDescent="0.2">
      <c r="A71" s="155" t="s">
        <v>214</v>
      </c>
      <c r="B71" s="172">
        <v>2</v>
      </c>
      <c r="C71" s="170">
        <f t="shared" si="18"/>
        <v>1.6465522412234006</v>
      </c>
      <c r="D71" s="170">
        <f t="shared" si="18"/>
        <v>1.8070657705985191</v>
      </c>
      <c r="E71" s="170">
        <f t="shared" si="18"/>
        <v>1.7125776219736306</v>
      </c>
      <c r="F71" s="173">
        <f t="shared" si="18"/>
        <v>1.5460797510918218</v>
      </c>
      <c r="G71" s="172">
        <f t="shared" si="18"/>
        <v>2.2626688558114303</v>
      </c>
      <c r="H71" s="170">
        <f t="shared" si="18"/>
        <v>1.8179363016957926</v>
      </c>
      <c r="I71" s="170">
        <f t="shared" si="18"/>
        <v>2.0159375840301856</v>
      </c>
      <c r="J71" s="170">
        <f t="shared" si="18"/>
        <v>1.8139289993067558</v>
      </c>
      <c r="K71" s="173">
        <f t="shared" si="18"/>
        <v>1.9073623427135047</v>
      </c>
      <c r="L71" s="172">
        <f t="shared" si="18"/>
        <v>1.7461689515752297</v>
      </c>
      <c r="M71" s="170">
        <f t="shared" si="19"/>
        <v>1.4764424876509397</v>
      </c>
      <c r="N71" s="170">
        <f t="shared" si="19"/>
        <v>1.602678522259716</v>
      </c>
      <c r="O71" s="170">
        <f t="shared" si="19"/>
        <v>1.5970503427305951</v>
      </c>
      <c r="P71" s="173">
        <f t="shared" si="19"/>
        <v>1.20285007991996</v>
      </c>
      <c r="Q71" s="172">
        <f t="shared" si="19"/>
        <v>4.9777658230559441</v>
      </c>
      <c r="R71" s="170">
        <f t="shared" si="19"/>
        <v>4.4932209840475208</v>
      </c>
      <c r="S71" s="170">
        <f t="shared" si="19"/>
        <v>4.7169300427429137</v>
      </c>
      <c r="T71" s="170">
        <f t="shared" si="19"/>
        <v>4.7027953987009372</v>
      </c>
      <c r="U71" s="174">
        <f t="shared" si="19"/>
        <v>3.988124843809417</v>
      </c>
      <c r="V71" s="175">
        <f t="shared" si="19"/>
        <v>1.3778929979236036</v>
      </c>
      <c r="W71" s="170">
        <f t="shared" si="20"/>
        <v>1.5395514601070375</v>
      </c>
      <c r="X71" s="170">
        <f t="shared" si="20"/>
        <v>1.3540838723324347</v>
      </c>
      <c r="Y71" s="170">
        <f t="shared" si="20"/>
        <v>1.9719207501978719</v>
      </c>
      <c r="Z71" s="170">
        <f t="shared" si="20"/>
        <v>2.3220562793095416</v>
      </c>
      <c r="AA71" s="170">
        <f t="shared" si="20"/>
        <v>3.2794163482316567</v>
      </c>
      <c r="AB71" s="173">
        <f t="shared" si="20"/>
        <v>2.2995852508196322</v>
      </c>
      <c r="AC71" s="170">
        <f>IF(A71="","",COUNTIF('Vika 36'!$B$5:$V$20,A71)+
COUNTIF('Vika 37'!$B$5:$V$20,A71)+
COUNTIF('Vika 38'!$B$5:$V$20,A71)+
COUNTIF('Vika 39'!$B$5:$V$20,A71)+
COUNTIF('Vika 40'!$B$5:$V$20,A71)+
COUNTIF('Vika 41'!$B$5:$V$20,A71)+
COUNTIF('Vika 42'!$B$5:$V$20,A71)+
COUNTIF('Vika 43'!$B$5:$V$20,A71)+
COUNTIF('Vika 44'!$B$5:$V$20,A71)+
COUNTIF('Vika 45'!$B$5:$V$20,A71)+
COUNTIF('Vika 46'!$B$5:$V$20,A71)+
COUNTIF('Vika 47'!$B$5:$V$20,A71)+
COUNTIF('Vika 48'!$B$5:$V$20,A71)+
COUNTIF('Vika x5'!$B$5:$V$20,A71))</f>
        <v>5</v>
      </c>
    </row>
    <row r="72" spans="1:30" x14ac:dyDescent="0.2">
      <c r="A72" s="155" t="s">
        <v>308</v>
      </c>
      <c r="B72" s="172">
        <v>3</v>
      </c>
      <c r="C72" s="170">
        <f t="shared" si="18"/>
        <v>2.4698283618351011</v>
      </c>
      <c r="D72" s="170">
        <f t="shared" si="18"/>
        <v>2.7105986558977788</v>
      </c>
      <c r="E72" s="170">
        <f t="shared" si="18"/>
        <v>2.568866432960446</v>
      </c>
      <c r="F72" s="173">
        <f t="shared" si="18"/>
        <v>2.3191196266377325</v>
      </c>
      <c r="G72" s="172">
        <f t="shared" si="18"/>
        <v>3.3940032837171454</v>
      </c>
      <c r="H72" s="170">
        <f t="shared" si="18"/>
        <v>2.726904452543689</v>
      </c>
      <c r="I72" s="170">
        <f t="shared" si="18"/>
        <v>3.0239063760452787</v>
      </c>
      <c r="J72" s="170">
        <f t="shared" si="18"/>
        <v>2.7208934989601339</v>
      </c>
      <c r="K72" s="173">
        <f t="shared" si="18"/>
        <v>2.861043514070257</v>
      </c>
      <c r="L72" s="172">
        <f t="shared" si="18"/>
        <v>2.6192534273628443</v>
      </c>
      <c r="M72" s="170">
        <f t="shared" si="19"/>
        <v>2.2146637314764095</v>
      </c>
      <c r="N72" s="170">
        <f t="shared" si="19"/>
        <v>2.4040177833895742</v>
      </c>
      <c r="O72" s="170">
        <f t="shared" si="19"/>
        <v>2.3955755140958925</v>
      </c>
      <c r="P72" s="173">
        <f t="shared" si="19"/>
        <v>1.8042751198799398</v>
      </c>
      <c r="Q72" s="172">
        <f t="shared" si="19"/>
        <v>7.4666487345839165</v>
      </c>
      <c r="R72" s="170">
        <f t="shared" si="19"/>
        <v>6.7398314760712807</v>
      </c>
      <c r="S72" s="170">
        <f t="shared" si="19"/>
        <v>7.075395064114371</v>
      </c>
      <c r="T72" s="170">
        <f t="shared" si="19"/>
        <v>7.0541930980514058</v>
      </c>
      <c r="U72" s="174">
        <f t="shared" si="19"/>
        <v>5.982187265714126</v>
      </c>
      <c r="V72" s="175">
        <f t="shared" si="19"/>
        <v>2.0668394968854056</v>
      </c>
      <c r="W72" s="170">
        <f t="shared" si="20"/>
        <v>2.3093271901605563</v>
      </c>
      <c r="X72" s="170">
        <f t="shared" si="20"/>
        <v>2.0311258084986519</v>
      </c>
      <c r="Y72" s="170">
        <f t="shared" si="20"/>
        <v>2.957881125296808</v>
      </c>
      <c r="Z72" s="170">
        <f t="shared" si="20"/>
        <v>3.4830844189643124</v>
      </c>
      <c r="AA72" s="170">
        <f t="shared" si="20"/>
        <v>4.9191245223474853</v>
      </c>
      <c r="AB72" s="173">
        <f t="shared" si="20"/>
        <v>3.4493778762294482</v>
      </c>
      <c r="AC72" s="170">
        <f>IF(A72="","",COUNTIF('Vika 36'!$B$5:$V$20,A72)+
COUNTIF('Vika 37'!$B$5:$V$20,A72)+
COUNTIF('Vika 38'!$B$5:$V$20,A72)+
COUNTIF('Vika 39'!$B$5:$V$20,A72)+
COUNTIF('Vika 40'!$B$5:$V$20,A72)+
COUNTIF('Vika 41'!$B$5:$V$20,A72)+
COUNTIF('Vika 42'!$B$5:$V$20,A72)+
COUNTIF('Vika 43'!$B$5:$V$20,A72)+
COUNTIF('Vika 44'!$B$5:$V$20,A72)+
COUNTIF('Vika 45'!$B$5:$V$20,A72)+
COUNTIF('Vika 46'!$B$5:$V$20,A72)+
COUNTIF('Vika 47'!$B$5:$V$20,A72)+
COUNTIF('Vika 48'!$B$5:$V$20,A72)+
COUNTIF('Vika x5'!$B$5:$V$20,A72))</f>
        <v>6</v>
      </c>
    </row>
    <row r="73" spans="1:30" x14ac:dyDescent="0.2">
      <c r="A73" s="155" t="s">
        <v>294</v>
      </c>
      <c r="B73" s="172">
        <v>2</v>
      </c>
      <c r="C73" s="170">
        <f t="shared" ref="C73:L82" si="21">IF(OR($B73="-",$B73=""),"-",$B73*C$203)</f>
        <v>1.6465522412234006</v>
      </c>
      <c r="D73" s="170">
        <f t="shared" si="21"/>
        <v>1.8070657705985191</v>
      </c>
      <c r="E73" s="170">
        <f t="shared" si="21"/>
        <v>1.7125776219736306</v>
      </c>
      <c r="F73" s="173">
        <f t="shared" si="21"/>
        <v>1.5460797510918218</v>
      </c>
      <c r="G73" s="172">
        <f t="shared" si="21"/>
        <v>2.2626688558114303</v>
      </c>
      <c r="H73" s="170">
        <f t="shared" si="21"/>
        <v>1.8179363016957926</v>
      </c>
      <c r="I73" s="170">
        <f t="shared" si="21"/>
        <v>2.0159375840301856</v>
      </c>
      <c r="J73" s="170">
        <f t="shared" si="21"/>
        <v>1.8139289993067558</v>
      </c>
      <c r="K73" s="173">
        <f t="shared" si="21"/>
        <v>1.9073623427135047</v>
      </c>
      <c r="L73" s="172">
        <f t="shared" si="21"/>
        <v>1.7461689515752297</v>
      </c>
      <c r="M73" s="170">
        <f t="shared" ref="M73:V82" si="22">IF(OR($B73="-",$B73=""),"-",$B73*M$203)</f>
        <v>1.4764424876509397</v>
      </c>
      <c r="N73" s="170">
        <f t="shared" si="22"/>
        <v>1.602678522259716</v>
      </c>
      <c r="O73" s="170">
        <f t="shared" si="22"/>
        <v>1.5970503427305951</v>
      </c>
      <c r="P73" s="173">
        <f t="shared" si="22"/>
        <v>1.20285007991996</v>
      </c>
      <c r="Q73" s="172">
        <f t="shared" si="22"/>
        <v>4.9777658230559441</v>
      </c>
      <c r="R73" s="170">
        <f t="shared" si="22"/>
        <v>4.4932209840475208</v>
      </c>
      <c r="S73" s="170">
        <f t="shared" si="22"/>
        <v>4.7169300427429137</v>
      </c>
      <c r="T73" s="170">
        <f t="shared" si="22"/>
        <v>4.7027953987009372</v>
      </c>
      <c r="U73" s="174">
        <f t="shared" si="22"/>
        <v>3.988124843809417</v>
      </c>
      <c r="V73" s="175">
        <f t="shared" si="22"/>
        <v>1.3778929979236036</v>
      </c>
      <c r="W73" s="170">
        <f t="shared" ref="W73:AB82" si="23">IF(OR($B73="-",$B73=""),"-",$B73*W$203)</f>
        <v>1.5395514601070375</v>
      </c>
      <c r="X73" s="170">
        <f t="shared" si="23"/>
        <v>1.3540838723324347</v>
      </c>
      <c r="Y73" s="170">
        <f t="shared" si="23"/>
        <v>1.9719207501978719</v>
      </c>
      <c r="Z73" s="170">
        <f t="shared" si="23"/>
        <v>2.3220562793095416</v>
      </c>
      <c r="AA73" s="170">
        <f t="shared" si="23"/>
        <v>3.2794163482316567</v>
      </c>
      <c r="AB73" s="173">
        <f t="shared" si="23"/>
        <v>2.2995852508196322</v>
      </c>
      <c r="AC73" s="170">
        <f>IF(A73="","",COUNTIF('Vika 36'!$B$5:$V$20,A73)+
COUNTIF('Vika 37'!$B$5:$V$20,A73)+
COUNTIF('Vika 38'!$B$5:$V$20,A73)+
COUNTIF('Vika 39'!$B$5:$V$20,A73)+
COUNTIF('Vika 40'!$B$5:$V$20,A73)+
COUNTIF('Vika 41'!$B$5:$V$20,A73)+
COUNTIF('Vika 42'!$B$5:$V$20,A73)+
COUNTIF('Vika 43'!$B$5:$V$20,A73)+
COUNTIF('Vika 44'!$B$5:$V$20,A73)+
COUNTIF('Vika 45'!$B$5:$V$20,A73)+
COUNTIF('Vika 46'!$B$5:$V$20,A73)+
COUNTIF('Vika 47'!$B$5:$V$20,A73)+
COUNTIF('Vika 48'!$B$5:$V$20,A73)+
COUNTIF('Vika x5'!$B$5:$V$20,A73))</f>
        <v>2</v>
      </c>
    </row>
    <row r="74" spans="1:30" x14ac:dyDescent="0.2">
      <c r="A74" s="155" t="s">
        <v>186</v>
      </c>
      <c r="B74" s="172">
        <v>2</v>
      </c>
      <c r="C74" s="170">
        <f t="shared" si="21"/>
        <v>1.6465522412234006</v>
      </c>
      <c r="D74" s="170">
        <f t="shared" si="21"/>
        <v>1.8070657705985191</v>
      </c>
      <c r="E74" s="170">
        <f t="shared" si="21"/>
        <v>1.7125776219736306</v>
      </c>
      <c r="F74" s="173">
        <f t="shared" si="21"/>
        <v>1.5460797510918218</v>
      </c>
      <c r="G74" s="172">
        <f t="shared" si="21"/>
        <v>2.2626688558114303</v>
      </c>
      <c r="H74" s="170">
        <f t="shared" si="21"/>
        <v>1.8179363016957926</v>
      </c>
      <c r="I74" s="170">
        <f t="shared" si="21"/>
        <v>2.0159375840301856</v>
      </c>
      <c r="J74" s="170">
        <f t="shared" si="21"/>
        <v>1.8139289993067558</v>
      </c>
      <c r="K74" s="173">
        <f t="shared" si="21"/>
        <v>1.9073623427135047</v>
      </c>
      <c r="L74" s="172">
        <f t="shared" si="21"/>
        <v>1.7461689515752297</v>
      </c>
      <c r="M74" s="170">
        <f t="shared" si="22"/>
        <v>1.4764424876509397</v>
      </c>
      <c r="N74" s="170">
        <f t="shared" si="22"/>
        <v>1.602678522259716</v>
      </c>
      <c r="O74" s="170">
        <f t="shared" si="22"/>
        <v>1.5970503427305951</v>
      </c>
      <c r="P74" s="173">
        <f t="shared" si="22"/>
        <v>1.20285007991996</v>
      </c>
      <c r="Q74" s="172">
        <f t="shared" si="22"/>
        <v>4.9777658230559441</v>
      </c>
      <c r="R74" s="170">
        <f t="shared" si="22"/>
        <v>4.4932209840475208</v>
      </c>
      <c r="S74" s="170">
        <f t="shared" si="22"/>
        <v>4.7169300427429137</v>
      </c>
      <c r="T74" s="170">
        <f t="shared" si="22"/>
        <v>4.7027953987009372</v>
      </c>
      <c r="U74" s="174">
        <f t="shared" si="22"/>
        <v>3.988124843809417</v>
      </c>
      <c r="V74" s="175">
        <f t="shared" si="22"/>
        <v>1.3778929979236036</v>
      </c>
      <c r="W74" s="170">
        <f t="shared" si="23"/>
        <v>1.5395514601070375</v>
      </c>
      <c r="X74" s="170">
        <f t="shared" si="23"/>
        <v>1.3540838723324347</v>
      </c>
      <c r="Y74" s="170">
        <f t="shared" si="23"/>
        <v>1.9719207501978719</v>
      </c>
      <c r="Z74" s="170">
        <f t="shared" si="23"/>
        <v>2.3220562793095416</v>
      </c>
      <c r="AA74" s="170">
        <f t="shared" si="23"/>
        <v>3.2794163482316567</v>
      </c>
      <c r="AB74" s="173">
        <f t="shared" si="23"/>
        <v>2.2995852508196322</v>
      </c>
      <c r="AC74" s="170">
        <f>IF(A74="","",COUNTIF('Vika 36'!$B$5:$V$20,A74)+
COUNTIF('Vika 37'!$B$5:$V$20,A74)+
COUNTIF('Vika 38'!$B$5:$V$20,A74)+
COUNTIF('Vika 39'!$B$5:$V$20,A74)+
COUNTIF('Vika 40'!$B$5:$V$20,A74)+
COUNTIF('Vika 41'!$B$5:$V$20,A74)+
COUNTIF('Vika 42'!$B$5:$V$20,A74)+
COUNTIF('Vika 43'!$B$5:$V$20,A74)+
COUNTIF('Vika 44'!$B$5:$V$20,A74)+
COUNTIF('Vika 45'!$B$5:$V$20,A74)+
COUNTIF('Vika 46'!$B$5:$V$20,A74)+
COUNTIF('Vika 47'!$B$5:$V$20,A74)+
COUNTIF('Vika 48'!$B$5:$V$20,A74)+
COUNTIF('Vika x5'!$B$5:$V$20,A74))</f>
        <v>13</v>
      </c>
    </row>
    <row r="75" spans="1:30" x14ac:dyDescent="0.2">
      <c r="A75" s="155" t="s">
        <v>36</v>
      </c>
      <c r="B75" s="172">
        <v>6</v>
      </c>
      <c r="C75" s="170">
        <f t="shared" si="21"/>
        <v>4.9396567236702023</v>
      </c>
      <c r="D75" s="170">
        <f t="shared" si="21"/>
        <v>5.4211973117955576</v>
      </c>
      <c r="E75" s="170">
        <f t="shared" si="21"/>
        <v>5.1377328659208921</v>
      </c>
      <c r="F75" s="173">
        <f t="shared" si="21"/>
        <v>4.638239253275465</v>
      </c>
      <c r="G75" s="172">
        <f t="shared" si="21"/>
        <v>6.7880065674342909</v>
      </c>
      <c r="H75" s="170">
        <f t="shared" si="21"/>
        <v>5.4538089050873779</v>
      </c>
      <c r="I75" s="170">
        <f t="shared" si="21"/>
        <v>6.0478127520905574</v>
      </c>
      <c r="J75" s="170">
        <f t="shared" si="21"/>
        <v>5.4417869979202678</v>
      </c>
      <c r="K75" s="173">
        <f t="shared" si="21"/>
        <v>5.7220870281405141</v>
      </c>
      <c r="L75" s="172">
        <f t="shared" si="21"/>
        <v>5.2385068547256886</v>
      </c>
      <c r="M75" s="170">
        <f t="shared" si="22"/>
        <v>4.429327462952819</v>
      </c>
      <c r="N75" s="170">
        <f t="shared" si="22"/>
        <v>4.8080355667791483</v>
      </c>
      <c r="O75" s="170">
        <f t="shared" si="22"/>
        <v>4.7911510281917851</v>
      </c>
      <c r="P75" s="173">
        <f t="shared" si="22"/>
        <v>3.6085502397598797</v>
      </c>
      <c r="Q75" s="172">
        <f t="shared" si="22"/>
        <v>14.933297469167833</v>
      </c>
      <c r="R75" s="170">
        <f t="shared" si="22"/>
        <v>13.479662952142561</v>
      </c>
      <c r="S75" s="170">
        <f t="shared" si="22"/>
        <v>14.150790128228742</v>
      </c>
      <c r="T75" s="170">
        <f t="shared" si="22"/>
        <v>14.108386196102812</v>
      </c>
      <c r="U75" s="174">
        <f t="shared" si="22"/>
        <v>11.964374531428252</v>
      </c>
      <c r="V75" s="175">
        <f t="shared" si="22"/>
        <v>4.1336789937708112</v>
      </c>
      <c r="W75" s="170">
        <f t="shared" si="23"/>
        <v>4.6186543803211126</v>
      </c>
      <c r="X75" s="170">
        <f t="shared" si="23"/>
        <v>4.0622516169973037</v>
      </c>
      <c r="Y75" s="170">
        <f t="shared" si="23"/>
        <v>5.915762250593616</v>
      </c>
      <c r="Z75" s="170">
        <f t="shared" si="23"/>
        <v>6.9661688379286248</v>
      </c>
      <c r="AA75" s="170">
        <f t="shared" si="23"/>
        <v>9.8382490446949706</v>
      </c>
      <c r="AB75" s="173">
        <f t="shared" si="23"/>
        <v>6.8987557524588965</v>
      </c>
      <c r="AC75" s="170">
        <f>IF(A75="","",COUNTIF('Vika 36'!$B$5:$V$20,A75)+
COUNTIF('Vika 37'!$B$5:$V$20,A75)+
COUNTIF('Vika 38'!$B$5:$V$20,A75)+
COUNTIF('Vika 39'!$B$5:$V$20,A75)+
COUNTIF('Vika 40'!$B$5:$V$20,A75)+
COUNTIF('Vika 41'!$B$5:$V$20,A75)+
COUNTIF('Vika 42'!$B$5:$V$20,A75)+
COUNTIF('Vika 43'!$B$5:$V$20,A75)+
COUNTIF('Vika 44'!$B$5:$V$20,A75)+
COUNTIF('Vika 45'!$B$5:$V$20,A75)+
COUNTIF('Vika 46'!$B$5:$V$20,A75)+
COUNTIF('Vika 47'!$B$5:$V$20,A75)+
COUNTIF('Vika 48'!$B$5:$V$20,A75)+
COUNTIF('Vika x5'!$B$5:$V$20,A75))</f>
        <v>88</v>
      </c>
    </row>
    <row r="76" spans="1:30" x14ac:dyDescent="0.2">
      <c r="A76" s="155" t="s">
        <v>242</v>
      </c>
      <c r="B76" s="172">
        <v>2</v>
      </c>
      <c r="C76" s="170">
        <f t="shared" si="21"/>
        <v>1.6465522412234006</v>
      </c>
      <c r="D76" s="170">
        <f t="shared" si="21"/>
        <v>1.8070657705985191</v>
      </c>
      <c r="E76" s="170">
        <f t="shared" si="21"/>
        <v>1.7125776219736306</v>
      </c>
      <c r="F76" s="173">
        <f t="shared" si="21"/>
        <v>1.5460797510918218</v>
      </c>
      <c r="G76" s="172">
        <f t="shared" si="21"/>
        <v>2.2626688558114303</v>
      </c>
      <c r="H76" s="170">
        <f t="shared" si="21"/>
        <v>1.8179363016957926</v>
      </c>
      <c r="I76" s="170">
        <f t="shared" si="21"/>
        <v>2.0159375840301856</v>
      </c>
      <c r="J76" s="170">
        <f t="shared" si="21"/>
        <v>1.8139289993067558</v>
      </c>
      <c r="K76" s="173">
        <f t="shared" si="21"/>
        <v>1.9073623427135047</v>
      </c>
      <c r="L76" s="172">
        <f t="shared" si="21"/>
        <v>1.7461689515752297</v>
      </c>
      <c r="M76" s="170">
        <f t="shared" si="22"/>
        <v>1.4764424876509397</v>
      </c>
      <c r="N76" s="170">
        <f t="shared" si="22"/>
        <v>1.602678522259716</v>
      </c>
      <c r="O76" s="170">
        <f t="shared" si="22"/>
        <v>1.5970503427305951</v>
      </c>
      <c r="P76" s="173">
        <f t="shared" si="22"/>
        <v>1.20285007991996</v>
      </c>
      <c r="Q76" s="172">
        <f t="shared" si="22"/>
        <v>4.9777658230559441</v>
      </c>
      <c r="R76" s="170">
        <f t="shared" si="22"/>
        <v>4.4932209840475208</v>
      </c>
      <c r="S76" s="170">
        <f t="shared" si="22"/>
        <v>4.7169300427429137</v>
      </c>
      <c r="T76" s="170">
        <f t="shared" si="22"/>
        <v>4.7027953987009372</v>
      </c>
      <c r="U76" s="174">
        <f t="shared" si="22"/>
        <v>3.988124843809417</v>
      </c>
      <c r="V76" s="175">
        <f t="shared" si="22"/>
        <v>1.3778929979236036</v>
      </c>
      <c r="W76" s="170">
        <f t="shared" si="23"/>
        <v>1.5395514601070375</v>
      </c>
      <c r="X76" s="170">
        <f t="shared" si="23"/>
        <v>1.3540838723324347</v>
      </c>
      <c r="Y76" s="170">
        <f t="shared" si="23"/>
        <v>1.9719207501978719</v>
      </c>
      <c r="Z76" s="170">
        <f t="shared" si="23"/>
        <v>2.3220562793095416</v>
      </c>
      <c r="AA76" s="170">
        <f t="shared" si="23"/>
        <v>3.2794163482316567</v>
      </c>
      <c r="AB76" s="173">
        <f t="shared" si="23"/>
        <v>2.2995852508196322</v>
      </c>
      <c r="AC76" s="170">
        <f>IF(A76="","",COUNTIF('Vika 36'!$B$5:$V$20,A76)+
COUNTIF('Vika 37'!$B$5:$V$20,A76)+
COUNTIF('Vika 38'!$B$5:$V$20,A76)+
COUNTIF('Vika 39'!$B$5:$V$20,A76)+
COUNTIF('Vika 40'!$B$5:$V$20,A76)+
COUNTIF('Vika 41'!$B$5:$V$20,A76)+
COUNTIF('Vika 42'!$B$5:$V$20,A76)+
COUNTIF('Vika 43'!$B$5:$V$20,A76)+
COUNTIF('Vika 44'!$B$5:$V$20,A76)+
COUNTIF('Vika 45'!$B$5:$V$20,A76)+
COUNTIF('Vika 46'!$B$5:$V$20,A76)+
COUNTIF('Vika 47'!$B$5:$V$20,A76)+
COUNTIF('Vika 48'!$B$5:$V$20,A76)+
COUNTIF('Vika x5'!$B$5:$V$20,A76))</f>
        <v>7</v>
      </c>
    </row>
    <row r="77" spans="1:30" x14ac:dyDescent="0.2">
      <c r="A77" s="155" t="s">
        <v>233</v>
      </c>
      <c r="B77" s="172">
        <v>5</v>
      </c>
      <c r="C77" s="170">
        <f t="shared" si="21"/>
        <v>4.1163806030585013</v>
      </c>
      <c r="D77" s="170">
        <f t="shared" si="21"/>
        <v>4.5176644264962977</v>
      </c>
      <c r="E77" s="170">
        <f t="shared" si="21"/>
        <v>4.2814440549340764</v>
      </c>
      <c r="F77" s="173">
        <f t="shared" si="21"/>
        <v>3.8651993777295548</v>
      </c>
      <c r="G77" s="172">
        <f t="shared" si="21"/>
        <v>5.6566721395285757</v>
      </c>
      <c r="H77" s="170">
        <f t="shared" si="21"/>
        <v>4.5448407542394813</v>
      </c>
      <c r="I77" s="170">
        <f t="shared" si="21"/>
        <v>5.0398439600754639</v>
      </c>
      <c r="J77" s="170">
        <f t="shared" si="21"/>
        <v>4.5348224982668892</v>
      </c>
      <c r="K77" s="173">
        <f t="shared" si="21"/>
        <v>4.7684058567837617</v>
      </c>
      <c r="L77" s="172">
        <f t="shared" si="21"/>
        <v>4.3654223789380744</v>
      </c>
      <c r="M77" s="170">
        <f t="shared" si="22"/>
        <v>3.6911062191273492</v>
      </c>
      <c r="N77" s="170">
        <f t="shared" si="22"/>
        <v>4.0066963056492897</v>
      </c>
      <c r="O77" s="170">
        <f t="shared" si="22"/>
        <v>3.9926258568264879</v>
      </c>
      <c r="P77" s="173">
        <f t="shared" si="22"/>
        <v>3.0071251997999</v>
      </c>
      <c r="Q77" s="172">
        <f t="shared" si="22"/>
        <v>12.44441455763986</v>
      </c>
      <c r="R77" s="170">
        <f t="shared" si="22"/>
        <v>11.233052460118802</v>
      </c>
      <c r="S77" s="170">
        <f t="shared" si="22"/>
        <v>11.792325106857284</v>
      </c>
      <c r="T77" s="170">
        <f t="shared" si="22"/>
        <v>11.756988496752342</v>
      </c>
      <c r="U77" s="174">
        <f t="shared" si="22"/>
        <v>9.9703121095235421</v>
      </c>
      <c r="V77" s="175">
        <f t="shared" si="22"/>
        <v>3.444732494809009</v>
      </c>
      <c r="W77" s="170">
        <f t="shared" si="23"/>
        <v>3.8488786502675936</v>
      </c>
      <c r="X77" s="170">
        <f t="shared" si="23"/>
        <v>3.3852096808310868</v>
      </c>
      <c r="Y77" s="170">
        <f t="shared" si="23"/>
        <v>4.9298018754946797</v>
      </c>
      <c r="Z77" s="170">
        <f t="shared" si="23"/>
        <v>5.8051406982738545</v>
      </c>
      <c r="AA77" s="170">
        <f t="shared" si="23"/>
        <v>8.1985408705791425</v>
      </c>
      <c r="AB77" s="173">
        <f t="shared" si="23"/>
        <v>5.7489631270490804</v>
      </c>
      <c r="AC77" s="170">
        <f>IF(A77="","",COUNTIF('Vika 36'!$B$5:$V$20,A77)+
COUNTIF('Vika 37'!$B$5:$V$20,A77)+
COUNTIF('Vika 38'!$B$5:$V$20,A77)+
COUNTIF('Vika 39'!$B$5:$V$20,A77)+
COUNTIF('Vika 40'!$B$5:$V$20,A77)+
COUNTIF('Vika 41'!$B$5:$V$20,A77)+
COUNTIF('Vika 42'!$B$5:$V$20,A77)+
COUNTIF('Vika 43'!$B$5:$V$20,A77)+
COUNTIF('Vika 44'!$B$5:$V$20,A77)+
COUNTIF('Vika 45'!$B$5:$V$20,A77)+
COUNTIF('Vika 46'!$B$5:$V$20,A77)+
COUNTIF('Vika 47'!$B$5:$V$20,A77)+
COUNTIF('Vika 48'!$B$5:$V$20,A77)+
COUNTIF('Vika x5'!$B$5:$V$20,A77))</f>
        <v>10</v>
      </c>
    </row>
    <row r="78" spans="1:30" x14ac:dyDescent="0.2">
      <c r="A78" s="155" t="s">
        <v>190</v>
      </c>
      <c r="B78" s="172">
        <v>2</v>
      </c>
      <c r="C78" s="170">
        <f t="shared" si="21"/>
        <v>1.6465522412234006</v>
      </c>
      <c r="D78" s="170">
        <f t="shared" si="21"/>
        <v>1.8070657705985191</v>
      </c>
      <c r="E78" s="170">
        <f t="shared" si="21"/>
        <v>1.7125776219736306</v>
      </c>
      <c r="F78" s="173">
        <f t="shared" si="21"/>
        <v>1.5460797510918218</v>
      </c>
      <c r="G78" s="172">
        <f t="shared" si="21"/>
        <v>2.2626688558114303</v>
      </c>
      <c r="H78" s="170">
        <f t="shared" si="21"/>
        <v>1.8179363016957926</v>
      </c>
      <c r="I78" s="170">
        <f t="shared" si="21"/>
        <v>2.0159375840301856</v>
      </c>
      <c r="J78" s="170">
        <f t="shared" si="21"/>
        <v>1.8139289993067558</v>
      </c>
      <c r="K78" s="173">
        <f t="shared" si="21"/>
        <v>1.9073623427135047</v>
      </c>
      <c r="L78" s="172">
        <f t="shared" si="21"/>
        <v>1.7461689515752297</v>
      </c>
      <c r="M78" s="170">
        <f t="shared" si="22"/>
        <v>1.4764424876509397</v>
      </c>
      <c r="N78" s="170">
        <f t="shared" si="22"/>
        <v>1.602678522259716</v>
      </c>
      <c r="O78" s="170">
        <f t="shared" si="22"/>
        <v>1.5970503427305951</v>
      </c>
      <c r="P78" s="173">
        <f t="shared" si="22"/>
        <v>1.20285007991996</v>
      </c>
      <c r="Q78" s="172">
        <f t="shared" si="22"/>
        <v>4.9777658230559441</v>
      </c>
      <c r="R78" s="170">
        <f t="shared" si="22"/>
        <v>4.4932209840475208</v>
      </c>
      <c r="S78" s="170">
        <f t="shared" si="22"/>
        <v>4.7169300427429137</v>
      </c>
      <c r="T78" s="170">
        <f t="shared" si="22"/>
        <v>4.7027953987009372</v>
      </c>
      <c r="U78" s="174">
        <f t="shared" si="22"/>
        <v>3.988124843809417</v>
      </c>
      <c r="V78" s="175">
        <f t="shared" si="22"/>
        <v>1.3778929979236036</v>
      </c>
      <c r="W78" s="170">
        <f t="shared" si="23"/>
        <v>1.5395514601070375</v>
      </c>
      <c r="X78" s="170">
        <f t="shared" si="23"/>
        <v>1.3540838723324347</v>
      </c>
      <c r="Y78" s="170">
        <f t="shared" si="23"/>
        <v>1.9719207501978719</v>
      </c>
      <c r="Z78" s="170">
        <f t="shared" si="23"/>
        <v>2.3220562793095416</v>
      </c>
      <c r="AA78" s="170">
        <f t="shared" si="23"/>
        <v>3.2794163482316567</v>
      </c>
      <c r="AB78" s="173">
        <f t="shared" si="23"/>
        <v>2.2995852508196322</v>
      </c>
      <c r="AC78" s="170">
        <f>IF(A78="","",COUNTIF('Vika 36'!$B$5:$V$20,A78)+
COUNTIF('Vika 37'!$B$5:$V$20,A78)+
COUNTIF('Vika 38'!$B$5:$V$20,A78)+
COUNTIF('Vika 39'!$B$5:$V$20,A78)+
COUNTIF('Vika 40'!$B$5:$V$20,A78)+
COUNTIF('Vika 41'!$B$5:$V$20,A78)+
COUNTIF('Vika 42'!$B$5:$V$20,A78)+
COUNTIF('Vika 43'!$B$5:$V$20,A78)+
COUNTIF('Vika 44'!$B$5:$V$20,A78)+
COUNTIF('Vika 45'!$B$5:$V$20,A78)+
COUNTIF('Vika 46'!$B$5:$V$20,A78)+
COUNTIF('Vika 47'!$B$5:$V$20,A78)+
COUNTIF('Vika 48'!$B$5:$V$20,A78)+
COUNTIF('Vika x5'!$B$5:$V$20,A78))</f>
        <v>13</v>
      </c>
    </row>
    <row r="79" spans="1:30" x14ac:dyDescent="0.2">
      <c r="A79" s="155" t="s">
        <v>296</v>
      </c>
      <c r="B79" s="172">
        <v>2</v>
      </c>
      <c r="C79" s="170">
        <f t="shared" si="21"/>
        <v>1.6465522412234006</v>
      </c>
      <c r="D79" s="170">
        <f t="shared" si="21"/>
        <v>1.8070657705985191</v>
      </c>
      <c r="E79" s="170">
        <f t="shared" si="21"/>
        <v>1.7125776219736306</v>
      </c>
      <c r="F79" s="173">
        <f t="shared" si="21"/>
        <v>1.5460797510918218</v>
      </c>
      <c r="G79" s="172">
        <f t="shared" si="21"/>
        <v>2.2626688558114303</v>
      </c>
      <c r="H79" s="170">
        <f t="shared" si="21"/>
        <v>1.8179363016957926</v>
      </c>
      <c r="I79" s="170">
        <f t="shared" si="21"/>
        <v>2.0159375840301856</v>
      </c>
      <c r="J79" s="170">
        <f t="shared" si="21"/>
        <v>1.8139289993067558</v>
      </c>
      <c r="K79" s="173">
        <f t="shared" si="21"/>
        <v>1.9073623427135047</v>
      </c>
      <c r="L79" s="172">
        <f t="shared" si="21"/>
        <v>1.7461689515752297</v>
      </c>
      <c r="M79" s="170">
        <f t="shared" si="22"/>
        <v>1.4764424876509397</v>
      </c>
      <c r="N79" s="170">
        <f t="shared" si="22"/>
        <v>1.602678522259716</v>
      </c>
      <c r="O79" s="170">
        <f t="shared" si="22"/>
        <v>1.5970503427305951</v>
      </c>
      <c r="P79" s="173">
        <f t="shared" si="22"/>
        <v>1.20285007991996</v>
      </c>
      <c r="Q79" s="172">
        <f t="shared" si="22"/>
        <v>4.9777658230559441</v>
      </c>
      <c r="R79" s="170">
        <f t="shared" si="22"/>
        <v>4.4932209840475208</v>
      </c>
      <c r="S79" s="170">
        <f t="shared" si="22"/>
        <v>4.7169300427429137</v>
      </c>
      <c r="T79" s="170">
        <f t="shared" si="22"/>
        <v>4.7027953987009372</v>
      </c>
      <c r="U79" s="174">
        <f t="shared" si="22"/>
        <v>3.988124843809417</v>
      </c>
      <c r="V79" s="175">
        <f t="shared" si="22"/>
        <v>1.3778929979236036</v>
      </c>
      <c r="W79" s="170">
        <f t="shared" si="23"/>
        <v>1.5395514601070375</v>
      </c>
      <c r="X79" s="170">
        <f t="shared" si="23"/>
        <v>1.3540838723324347</v>
      </c>
      <c r="Y79" s="170">
        <f t="shared" si="23"/>
        <v>1.9719207501978719</v>
      </c>
      <c r="Z79" s="170">
        <f t="shared" si="23"/>
        <v>2.3220562793095416</v>
      </c>
      <c r="AA79" s="170">
        <f t="shared" si="23"/>
        <v>3.2794163482316567</v>
      </c>
      <c r="AB79" s="173">
        <f t="shared" si="23"/>
        <v>2.2995852508196322</v>
      </c>
      <c r="AC79" s="170">
        <f>IF(A79="","",COUNTIF('Vika 36'!$B$5:$V$20,A79)+
COUNTIF('Vika 37'!$B$5:$V$20,A79)+
COUNTIF('Vika 38'!$B$5:$V$20,A79)+
COUNTIF('Vika 39'!$B$5:$V$20,A79)+
COUNTIF('Vika 40'!$B$5:$V$20,A79)+
COUNTIF('Vika 41'!$B$5:$V$20,A79)+
COUNTIF('Vika 42'!$B$5:$V$20,A79)+
COUNTIF('Vika 43'!$B$5:$V$20,A79)+
COUNTIF('Vika 44'!$B$5:$V$20,A79)+
COUNTIF('Vika 45'!$B$5:$V$20,A79)+
COUNTIF('Vika 46'!$B$5:$V$20,A79)+
COUNTIF('Vika 47'!$B$5:$V$20,A79)+
COUNTIF('Vika 48'!$B$5:$V$20,A79)+
COUNTIF('Vika x5'!$B$5:$V$20,A79))</f>
        <v>2</v>
      </c>
    </row>
    <row r="80" spans="1:30" x14ac:dyDescent="0.2">
      <c r="A80" s="155" t="s">
        <v>235</v>
      </c>
      <c r="B80" s="172">
        <v>2</v>
      </c>
      <c r="C80" s="170">
        <f t="shared" si="21"/>
        <v>1.6465522412234006</v>
      </c>
      <c r="D80" s="170">
        <f t="shared" si="21"/>
        <v>1.8070657705985191</v>
      </c>
      <c r="E80" s="170">
        <f t="shared" si="21"/>
        <v>1.7125776219736306</v>
      </c>
      <c r="F80" s="173">
        <f t="shared" si="21"/>
        <v>1.5460797510918218</v>
      </c>
      <c r="G80" s="172">
        <f t="shared" si="21"/>
        <v>2.2626688558114303</v>
      </c>
      <c r="H80" s="170">
        <f t="shared" si="21"/>
        <v>1.8179363016957926</v>
      </c>
      <c r="I80" s="170">
        <f t="shared" si="21"/>
        <v>2.0159375840301856</v>
      </c>
      <c r="J80" s="170">
        <f t="shared" si="21"/>
        <v>1.8139289993067558</v>
      </c>
      <c r="K80" s="173">
        <f t="shared" si="21"/>
        <v>1.9073623427135047</v>
      </c>
      <c r="L80" s="172">
        <f t="shared" si="21"/>
        <v>1.7461689515752297</v>
      </c>
      <c r="M80" s="170">
        <f t="shared" si="22"/>
        <v>1.4764424876509397</v>
      </c>
      <c r="N80" s="170">
        <f t="shared" si="22"/>
        <v>1.602678522259716</v>
      </c>
      <c r="O80" s="170">
        <f t="shared" si="22"/>
        <v>1.5970503427305951</v>
      </c>
      <c r="P80" s="173">
        <f t="shared" si="22"/>
        <v>1.20285007991996</v>
      </c>
      <c r="Q80" s="172">
        <f t="shared" si="22"/>
        <v>4.9777658230559441</v>
      </c>
      <c r="R80" s="170">
        <f t="shared" si="22"/>
        <v>4.4932209840475208</v>
      </c>
      <c r="S80" s="170">
        <f t="shared" si="22"/>
        <v>4.7169300427429137</v>
      </c>
      <c r="T80" s="170">
        <f t="shared" si="22"/>
        <v>4.7027953987009372</v>
      </c>
      <c r="U80" s="174">
        <f t="shared" si="22"/>
        <v>3.988124843809417</v>
      </c>
      <c r="V80" s="175">
        <f t="shared" si="22"/>
        <v>1.3778929979236036</v>
      </c>
      <c r="W80" s="170">
        <f t="shared" si="23"/>
        <v>1.5395514601070375</v>
      </c>
      <c r="X80" s="170">
        <f t="shared" si="23"/>
        <v>1.3540838723324347</v>
      </c>
      <c r="Y80" s="170">
        <f t="shared" si="23"/>
        <v>1.9719207501978719</v>
      </c>
      <c r="Z80" s="170">
        <f t="shared" si="23"/>
        <v>2.3220562793095416</v>
      </c>
      <c r="AA80" s="170">
        <f t="shared" si="23"/>
        <v>3.2794163482316567</v>
      </c>
      <c r="AB80" s="173">
        <f t="shared" si="23"/>
        <v>2.2995852508196322</v>
      </c>
      <c r="AC80" s="170">
        <f>IF(A80="","",COUNTIF('Vika 36'!$B$5:$V$20,A80)+
COUNTIF('Vika 37'!$B$5:$V$20,A80)+
COUNTIF('Vika 38'!$B$5:$V$20,A80)+
COUNTIF('Vika 39'!$B$5:$V$20,A80)+
COUNTIF('Vika 40'!$B$5:$V$20,A80)+
COUNTIF('Vika 41'!$B$5:$V$20,A80)+
COUNTIF('Vika 42'!$B$5:$V$20,A80)+
COUNTIF('Vika 43'!$B$5:$V$20,A80)+
COUNTIF('Vika 44'!$B$5:$V$20,A80)+
COUNTIF('Vika 45'!$B$5:$V$20,A80)+
COUNTIF('Vika 46'!$B$5:$V$20,A80)+
COUNTIF('Vika 47'!$B$5:$V$20,A80)+
COUNTIF('Vika 48'!$B$5:$V$20,A80)+
COUNTIF('Vika x5'!$B$5:$V$20,A80))</f>
        <v>6</v>
      </c>
    </row>
    <row r="81" spans="1:30" x14ac:dyDescent="0.2">
      <c r="A81" s="155" t="s">
        <v>202</v>
      </c>
      <c r="B81" s="172">
        <v>3</v>
      </c>
      <c r="C81" s="170">
        <f t="shared" si="21"/>
        <v>2.4698283618351011</v>
      </c>
      <c r="D81" s="170">
        <f t="shared" si="21"/>
        <v>2.7105986558977788</v>
      </c>
      <c r="E81" s="170">
        <f t="shared" si="21"/>
        <v>2.568866432960446</v>
      </c>
      <c r="F81" s="173">
        <f t="shared" si="21"/>
        <v>2.3191196266377325</v>
      </c>
      <c r="G81" s="172">
        <f t="shared" si="21"/>
        <v>3.3940032837171454</v>
      </c>
      <c r="H81" s="170">
        <f t="shared" si="21"/>
        <v>2.726904452543689</v>
      </c>
      <c r="I81" s="170">
        <f t="shared" si="21"/>
        <v>3.0239063760452787</v>
      </c>
      <c r="J81" s="170">
        <f t="shared" si="21"/>
        <v>2.7208934989601339</v>
      </c>
      <c r="K81" s="173">
        <f t="shared" si="21"/>
        <v>2.861043514070257</v>
      </c>
      <c r="L81" s="172">
        <f t="shared" si="21"/>
        <v>2.6192534273628443</v>
      </c>
      <c r="M81" s="170">
        <f t="shared" si="22"/>
        <v>2.2146637314764095</v>
      </c>
      <c r="N81" s="170">
        <f t="shared" si="22"/>
        <v>2.4040177833895742</v>
      </c>
      <c r="O81" s="170">
        <f t="shared" si="22"/>
        <v>2.3955755140958925</v>
      </c>
      <c r="P81" s="173">
        <f t="shared" si="22"/>
        <v>1.8042751198799398</v>
      </c>
      <c r="Q81" s="172">
        <f t="shared" si="22"/>
        <v>7.4666487345839165</v>
      </c>
      <c r="R81" s="170">
        <f t="shared" si="22"/>
        <v>6.7398314760712807</v>
      </c>
      <c r="S81" s="170">
        <f t="shared" si="22"/>
        <v>7.075395064114371</v>
      </c>
      <c r="T81" s="170">
        <f t="shared" si="22"/>
        <v>7.0541930980514058</v>
      </c>
      <c r="U81" s="174">
        <f t="shared" si="22"/>
        <v>5.982187265714126</v>
      </c>
      <c r="V81" s="175">
        <f t="shared" si="22"/>
        <v>2.0668394968854056</v>
      </c>
      <c r="W81" s="170">
        <f t="shared" si="23"/>
        <v>2.3093271901605563</v>
      </c>
      <c r="X81" s="170">
        <f t="shared" si="23"/>
        <v>2.0311258084986519</v>
      </c>
      <c r="Y81" s="170">
        <f t="shared" si="23"/>
        <v>2.957881125296808</v>
      </c>
      <c r="Z81" s="170">
        <f t="shared" si="23"/>
        <v>3.4830844189643124</v>
      </c>
      <c r="AA81" s="170">
        <f t="shared" si="23"/>
        <v>4.9191245223474853</v>
      </c>
      <c r="AB81" s="173">
        <f t="shared" si="23"/>
        <v>3.4493778762294482</v>
      </c>
      <c r="AC81" s="170">
        <f>IF(A81="","",COUNTIF('Vika 36'!$B$5:$V$20,A81)+
COUNTIF('Vika 37'!$B$5:$V$20,A81)+
COUNTIF('Vika 38'!$B$5:$V$20,A81)+
COUNTIF('Vika 39'!$B$5:$V$20,A81)+
COUNTIF('Vika 40'!$B$5:$V$20,A81)+
COUNTIF('Vika 41'!$B$5:$V$20,A81)+
COUNTIF('Vika 42'!$B$5:$V$20,A81)+
COUNTIF('Vika 43'!$B$5:$V$20,A81)+
COUNTIF('Vika 44'!$B$5:$V$20,A81)+
COUNTIF('Vika 45'!$B$5:$V$20,A81)+
COUNTIF('Vika 46'!$B$5:$V$20,A81)+
COUNTIF('Vika 47'!$B$5:$V$20,A81)+
COUNTIF('Vika 48'!$B$5:$V$20,A81)+
COUNTIF('Vika x5'!$B$5:$V$20,A81))</f>
        <v>9</v>
      </c>
    </row>
    <row r="82" spans="1:30" x14ac:dyDescent="0.2">
      <c r="A82" s="155" t="s">
        <v>241</v>
      </c>
      <c r="B82" s="172">
        <v>2</v>
      </c>
      <c r="C82" s="170">
        <f t="shared" si="21"/>
        <v>1.6465522412234006</v>
      </c>
      <c r="D82" s="170">
        <f t="shared" si="21"/>
        <v>1.8070657705985191</v>
      </c>
      <c r="E82" s="170">
        <f t="shared" si="21"/>
        <v>1.7125776219736306</v>
      </c>
      <c r="F82" s="173">
        <f t="shared" si="21"/>
        <v>1.5460797510918218</v>
      </c>
      <c r="G82" s="172">
        <f t="shared" si="21"/>
        <v>2.2626688558114303</v>
      </c>
      <c r="H82" s="170">
        <f t="shared" si="21"/>
        <v>1.8179363016957926</v>
      </c>
      <c r="I82" s="170">
        <f t="shared" si="21"/>
        <v>2.0159375840301856</v>
      </c>
      <c r="J82" s="170">
        <f t="shared" si="21"/>
        <v>1.8139289993067558</v>
      </c>
      <c r="K82" s="173">
        <f t="shared" si="21"/>
        <v>1.9073623427135047</v>
      </c>
      <c r="L82" s="172">
        <f t="shared" si="21"/>
        <v>1.7461689515752297</v>
      </c>
      <c r="M82" s="170">
        <f t="shared" si="22"/>
        <v>1.4764424876509397</v>
      </c>
      <c r="N82" s="170">
        <f t="shared" si="22"/>
        <v>1.602678522259716</v>
      </c>
      <c r="O82" s="170">
        <f t="shared" si="22"/>
        <v>1.5970503427305951</v>
      </c>
      <c r="P82" s="173">
        <f t="shared" si="22"/>
        <v>1.20285007991996</v>
      </c>
      <c r="Q82" s="172">
        <f t="shared" si="22"/>
        <v>4.9777658230559441</v>
      </c>
      <c r="R82" s="170">
        <f t="shared" si="22"/>
        <v>4.4932209840475208</v>
      </c>
      <c r="S82" s="170">
        <f t="shared" si="22"/>
        <v>4.7169300427429137</v>
      </c>
      <c r="T82" s="170">
        <f t="shared" si="22"/>
        <v>4.7027953987009372</v>
      </c>
      <c r="U82" s="174">
        <f t="shared" si="22"/>
        <v>3.988124843809417</v>
      </c>
      <c r="V82" s="175">
        <f t="shared" si="22"/>
        <v>1.3778929979236036</v>
      </c>
      <c r="W82" s="170">
        <f t="shared" si="23"/>
        <v>1.5395514601070375</v>
      </c>
      <c r="X82" s="170">
        <f t="shared" si="23"/>
        <v>1.3540838723324347</v>
      </c>
      <c r="Y82" s="170">
        <f t="shared" si="23"/>
        <v>1.9719207501978719</v>
      </c>
      <c r="Z82" s="170">
        <f t="shared" si="23"/>
        <v>2.3220562793095416</v>
      </c>
      <c r="AA82" s="170">
        <f t="shared" si="23"/>
        <v>3.2794163482316567</v>
      </c>
      <c r="AB82" s="173">
        <f t="shared" si="23"/>
        <v>2.2995852508196322</v>
      </c>
      <c r="AC82" s="170">
        <f>IF(A82="","",COUNTIF('Vika 36'!$B$5:$V$20,A82)+
COUNTIF('Vika 37'!$B$5:$V$20,A82)+
COUNTIF('Vika 38'!$B$5:$V$20,A82)+
COUNTIF('Vika 39'!$B$5:$V$20,A82)+
COUNTIF('Vika 40'!$B$5:$V$20,A82)+
COUNTIF('Vika 41'!$B$5:$V$20,A82)+
COUNTIF('Vika 42'!$B$5:$V$20,A82)+
COUNTIF('Vika 43'!$B$5:$V$20,A82)+
COUNTIF('Vika 44'!$B$5:$V$20,A82)+
COUNTIF('Vika 45'!$B$5:$V$20,A82)+
COUNTIF('Vika 46'!$B$5:$V$20,A82)+
COUNTIF('Vika 47'!$B$5:$V$20,A82)+
COUNTIF('Vika 48'!$B$5:$V$20,A82)+
COUNTIF('Vika x5'!$B$5:$V$20,A82))</f>
        <v>6</v>
      </c>
      <c r="AD82" s="157"/>
    </row>
    <row r="83" spans="1:30" x14ac:dyDescent="0.2">
      <c r="A83" s="155" t="s">
        <v>307</v>
      </c>
      <c r="B83" s="172">
        <v>3</v>
      </c>
      <c r="C83" s="170">
        <f t="shared" ref="C83:L92" si="24">IF(OR($B83="-",$B83=""),"-",$B83*C$203)</f>
        <v>2.4698283618351011</v>
      </c>
      <c r="D83" s="170">
        <f t="shared" si="24"/>
        <v>2.7105986558977788</v>
      </c>
      <c r="E83" s="170">
        <f t="shared" si="24"/>
        <v>2.568866432960446</v>
      </c>
      <c r="F83" s="173">
        <f t="shared" si="24"/>
        <v>2.3191196266377325</v>
      </c>
      <c r="G83" s="172">
        <f t="shared" si="24"/>
        <v>3.3940032837171454</v>
      </c>
      <c r="H83" s="170">
        <f t="shared" si="24"/>
        <v>2.726904452543689</v>
      </c>
      <c r="I83" s="170">
        <f t="shared" si="24"/>
        <v>3.0239063760452787</v>
      </c>
      <c r="J83" s="170">
        <f t="shared" si="24"/>
        <v>2.7208934989601339</v>
      </c>
      <c r="K83" s="173">
        <f t="shared" si="24"/>
        <v>2.861043514070257</v>
      </c>
      <c r="L83" s="172">
        <f t="shared" si="24"/>
        <v>2.6192534273628443</v>
      </c>
      <c r="M83" s="170">
        <f t="shared" ref="M83:V92" si="25">IF(OR($B83="-",$B83=""),"-",$B83*M$203)</f>
        <v>2.2146637314764095</v>
      </c>
      <c r="N83" s="170">
        <f t="shared" si="25"/>
        <v>2.4040177833895742</v>
      </c>
      <c r="O83" s="170">
        <f t="shared" si="25"/>
        <v>2.3955755140958925</v>
      </c>
      <c r="P83" s="173">
        <f t="shared" si="25"/>
        <v>1.8042751198799398</v>
      </c>
      <c r="Q83" s="172">
        <f t="shared" si="25"/>
        <v>7.4666487345839165</v>
      </c>
      <c r="R83" s="170">
        <f t="shared" si="25"/>
        <v>6.7398314760712807</v>
      </c>
      <c r="S83" s="170">
        <f t="shared" si="25"/>
        <v>7.075395064114371</v>
      </c>
      <c r="T83" s="170">
        <f t="shared" si="25"/>
        <v>7.0541930980514058</v>
      </c>
      <c r="U83" s="174">
        <f t="shared" si="25"/>
        <v>5.982187265714126</v>
      </c>
      <c r="V83" s="175">
        <f t="shared" si="25"/>
        <v>2.0668394968854056</v>
      </c>
      <c r="W83" s="170">
        <f t="shared" ref="W83:AB92" si="26">IF(OR($B83="-",$B83=""),"-",$B83*W$203)</f>
        <v>2.3093271901605563</v>
      </c>
      <c r="X83" s="170">
        <f t="shared" si="26"/>
        <v>2.0311258084986519</v>
      </c>
      <c r="Y83" s="170">
        <f t="shared" si="26"/>
        <v>2.957881125296808</v>
      </c>
      <c r="Z83" s="170">
        <f t="shared" si="26"/>
        <v>3.4830844189643124</v>
      </c>
      <c r="AA83" s="170">
        <f t="shared" si="26"/>
        <v>4.9191245223474853</v>
      </c>
      <c r="AB83" s="173">
        <f t="shared" si="26"/>
        <v>3.4493778762294482</v>
      </c>
      <c r="AC83" s="170">
        <f>IF(A83="","",COUNTIF('Vika 36'!$B$5:$V$20,A83)+
COUNTIF('Vika 37'!$B$5:$V$20,A83)+
COUNTIF('Vika 38'!$B$5:$V$20,A83)+
COUNTIF('Vika 39'!$B$5:$V$20,A83)+
COUNTIF('Vika 40'!$B$5:$V$20,A83)+
COUNTIF('Vika 41'!$B$5:$V$20,A83)+
COUNTIF('Vika 42'!$B$5:$V$20,A83)+
COUNTIF('Vika 43'!$B$5:$V$20,A83)+
COUNTIF('Vika 44'!$B$5:$V$20,A83)+
COUNTIF('Vika 45'!$B$5:$V$20,A83)+
COUNTIF('Vika 46'!$B$5:$V$20,A83)+
COUNTIF('Vika 47'!$B$5:$V$20,A83)+
COUNTIF('Vika 48'!$B$5:$V$20,A83)+
COUNTIF('Vika x5'!$B$5:$V$20,A83))</f>
        <v>6</v>
      </c>
    </row>
    <row r="84" spans="1:30" x14ac:dyDescent="0.2">
      <c r="A84" s="155" t="s">
        <v>222</v>
      </c>
      <c r="B84" s="172">
        <v>2</v>
      </c>
      <c r="C84" s="170">
        <f t="shared" si="24"/>
        <v>1.6465522412234006</v>
      </c>
      <c r="D84" s="170">
        <f t="shared" si="24"/>
        <v>1.8070657705985191</v>
      </c>
      <c r="E84" s="170">
        <f t="shared" si="24"/>
        <v>1.7125776219736306</v>
      </c>
      <c r="F84" s="173">
        <f t="shared" si="24"/>
        <v>1.5460797510918218</v>
      </c>
      <c r="G84" s="172">
        <f t="shared" si="24"/>
        <v>2.2626688558114303</v>
      </c>
      <c r="H84" s="170">
        <f t="shared" si="24"/>
        <v>1.8179363016957926</v>
      </c>
      <c r="I84" s="170">
        <f t="shared" si="24"/>
        <v>2.0159375840301856</v>
      </c>
      <c r="J84" s="170">
        <f t="shared" si="24"/>
        <v>1.8139289993067558</v>
      </c>
      <c r="K84" s="173">
        <f t="shared" si="24"/>
        <v>1.9073623427135047</v>
      </c>
      <c r="L84" s="172">
        <f t="shared" si="24"/>
        <v>1.7461689515752297</v>
      </c>
      <c r="M84" s="170">
        <f t="shared" si="25"/>
        <v>1.4764424876509397</v>
      </c>
      <c r="N84" s="170">
        <f t="shared" si="25"/>
        <v>1.602678522259716</v>
      </c>
      <c r="O84" s="170">
        <f t="shared" si="25"/>
        <v>1.5970503427305951</v>
      </c>
      <c r="P84" s="173">
        <f t="shared" si="25"/>
        <v>1.20285007991996</v>
      </c>
      <c r="Q84" s="172">
        <f t="shared" si="25"/>
        <v>4.9777658230559441</v>
      </c>
      <c r="R84" s="170">
        <f t="shared" si="25"/>
        <v>4.4932209840475208</v>
      </c>
      <c r="S84" s="170">
        <f t="shared" si="25"/>
        <v>4.7169300427429137</v>
      </c>
      <c r="T84" s="170">
        <f t="shared" si="25"/>
        <v>4.7027953987009372</v>
      </c>
      <c r="U84" s="174">
        <f t="shared" si="25"/>
        <v>3.988124843809417</v>
      </c>
      <c r="V84" s="175">
        <f t="shared" si="25"/>
        <v>1.3778929979236036</v>
      </c>
      <c r="W84" s="170">
        <f t="shared" si="26"/>
        <v>1.5395514601070375</v>
      </c>
      <c r="X84" s="170">
        <f t="shared" si="26"/>
        <v>1.3540838723324347</v>
      </c>
      <c r="Y84" s="170">
        <f t="shared" si="26"/>
        <v>1.9719207501978719</v>
      </c>
      <c r="Z84" s="170">
        <f t="shared" si="26"/>
        <v>2.3220562793095416</v>
      </c>
      <c r="AA84" s="170">
        <f t="shared" si="26"/>
        <v>3.2794163482316567</v>
      </c>
      <c r="AB84" s="173">
        <f t="shared" si="26"/>
        <v>2.2995852508196322</v>
      </c>
      <c r="AC84" s="170">
        <f>IF(A84="","",COUNTIF('Vika 36'!$B$5:$V$20,A84)+
COUNTIF('Vika 37'!$B$5:$V$20,A84)+
COUNTIF('Vika 38'!$B$5:$V$20,A84)+
COUNTIF('Vika 39'!$B$5:$V$20,A84)+
COUNTIF('Vika 40'!$B$5:$V$20,A84)+
COUNTIF('Vika 41'!$B$5:$V$20,A84)+
COUNTIF('Vika 42'!$B$5:$V$20,A84)+
COUNTIF('Vika 43'!$B$5:$V$20,A84)+
COUNTIF('Vika 44'!$B$5:$V$20,A84)+
COUNTIF('Vika 45'!$B$5:$V$20,A84)+
COUNTIF('Vika 46'!$B$5:$V$20,A84)+
COUNTIF('Vika 47'!$B$5:$V$20,A84)+
COUNTIF('Vika 48'!$B$5:$V$20,A84)+
COUNTIF('Vika x5'!$B$5:$V$20,A84))</f>
        <v>6</v>
      </c>
    </row>
    <row r="85" spans="1:30" x14ac:dyDescent="0.2">
      <c r="A85" s="155" t="s">
        <v>234</v>
      </c>
      <c r="B85" s="172">
        <v>2</v>
      </c>
      <c r="C85" s="170">
        <f t="shared" si="24"/>
        <v>1.6465522412234006</v>
      </c>
      <c r="D85" s="170">
        <f t="shared" si="24"/>
        <v>1.8070657705985191</v>
      </c>
      <c r="E85" s="170">
        <f t="shared" si="24"/>
        <v>1.7125776219736306</v>
      </c>
      <c r="F85" s="173">
        <f t="shared" si="24"/>
        <v>1.5460797510918218</v>
      </c>
      <c r="G85" s="172">
        <f t="shared" si="24"/>
        <v>2.2626688558114303</v>
      </c>
      <c r="H85" s="170">
        <f t="shared" si="24"/>
        <v>1.8179363016957926</v>
      </c>
      <c r="I85" s="170">
        <f t="shared" si="24"/>
        <v>2.0159375840301856</v>
      </c>
      <c r="J85" s="170">
        <f t="shared" si="24"/>
        <v>1.8139289993067558</v>
      </c>
      <c r="K85" s="173">
        <f t="shared" si="24"/>
        <v>1.9073623427135047</v>
      </c>
      <c r="L85" s="172">
        <f t="shared" si="24"/>
        <v>1.7461689515752297</v>
      </c>
      <c r="M85" s="170">
        <f t="shared" si="25"/>
        <v>1.4764424876509397</v>
      </c>
      <c r="N85" s="170">
        <f t="shared" si="25"/>
        <v>1.602678522259716</v>
      </c>
      <c r="O85" s="170">
        <f t="shared" si="25"/>
        <v>1.5970503427305951</v>
      </c>
      <c r="P85" s="173">
        <f t="shared" si="25"/>
        <v>1.20285007991996</v>
      </c>
      <c r="Q85" s="172">
        <f t="shared" si="25"/>
        <v>4.9777658230559441</v>
      </c>
      <c r="R85" s="170">
        <f t="shared" si="25"/>
        <v>4.4932209840475208</v>
      </c>
      <c r="S85" s="170">
        <f t="shared" si="25"/>
        <v>4.7169300427429137</v>
      </c>
      <c r="T85" s="170">
        <f t="shared" si="25"/>
        <v>4.7027953987009372</v>
      </c>
      <c r="U85" s="174">
        <f t="shared" si="25"/>
        <v>3.988124843809417</v>
      </c>
      <c r="V85" s="175">
        <f t="shared" si="25"/>
        <v>1.3778929979236036</v>
      </c>
      <c r="W85" s="170">
        <f t="shared" si="26"/>
        <v>1.5395514601070375</v>
      </c>
      <c r="X85" s="170">
        <f t="shared" si="26"/>
        <v>1.3540838723324347</v>
      </c>
      <c r="Y85" s="170">
        <f t="shared" si="26"/>
        <v>1.9719207501978719</v>
      </c>
      <c r="Z85" s="170">
        <f t="shared" si="26"/>
        <v>2.3220562793095416</v>
      </c>
      <c r="AA85" s="170">
        <f t="shared" si="26"/>
        <v>3.2794163482316567</v>
      </c>
      <c r="AB85" s="173">
        <f t="shared" si="26"/>
        <v>2.2995852508196322</v>
      </c>
      <c r="AC85" s="170">
        <f>IF(A85="","",COUNTIF('Vika 36'!$B$5:$V$20,A85)+
COUNTIF('Vika 37'!$B$5:$V$20,A85)+
COUNTIF('Vika 38'!$B$5:$V$20,A85)+
COUNTIF('Vika 39'!$B$5:$V$20,A85)+
COUNTIF('Vika 40'!$B$5:$V$20,A85)+
COUNTIF('Vika 41'!$B$5:$V$20,A85)+
COUNTIF('Vika 42'!$B$5:$V$20,A85)+
COUNTIF('Vika 43'!$B$5:$V$20,A85)+
COUNTIF('Vika 44'!$B$5:$V$20,A85)+
COUNTIF('Vika 45'!$B$5:$V$20,A85)+
COUNTIF('Vika 46'!$B$5:$V$20,A85)+
COUNTIF('Vika 47'!$B$5:$V$20,A85)+
COUNTIF('Vika 48'!$B$5:$V$20,A85)+
COUNTIF('Vika x5'!$B$5:$V$20,A85))</f>
        <v>8</v>
      </c>
      <c r="AD85" s="157"/>
    </row>
    <row r="86" spans="1:30" x14ac:dyDescent="0.2">
      <c r="A86" s="155" t="s">
        <v>278</v>
      </c>
      <c r="B86" s="172">
        <v>2</v>
      </c>
      <c r="C86" s="170">
        <f t="shared" si="24"/>
        <v>1.6465522412234006</v>
      </c>
      <c r="D86" s="170">
        <f t="shared" si="24"/>
        <v>1.8070657705985191</v>
      </c>
      <c r="E86" s="170">
        <f t="shared" si="24"/>
        <v>1.7125776219736306</v>
      </c>
      <c r="F86" s="173">
        <f t="shared" si="24"/>
        <v>1.5460797510918218</v>
      </c>
      <c r="G86" s="172">
        <f t="shared" si="24"/>
        <v>2.2626688558114303</v>
      </c>
      <c r="H86" s="170">
        <f t="shared" si="24"/>
        <v>1.8179363016957926</v>
      </c>
      <c r="I86" s="170">
        <f t="shared" si="24"/>
        <v>2.0159375840301856</v>
      </c>
      <c r="J86" s="170">
        <f t="shared" si="24"/>
        <v>1.8139289993067558</v>
      </c>
      <c r="K86" s="173">
        <f t="shared" si="24"/>
        <v>1.9073623427135047</v>
      </c>
      <c r="L86" s="172">
        <f t="shared" si="24"/>
        <v>1.7461689515752297</v>
      </c>
      <c r="M86" s="170">
        <f t="shared" si="25"/>
        <v>1.4764424876509397</v>
      </c>
      <c r="N86" s="170">
        <f t="shared" si="25"/>
        <v>1.602678522259716</v>
      </c>
      <c r="O86" s="170">
        <f t="shared" si="25"/>
        <v>1.5970503427305951</v>
      </c>
      <c r="P86" s="173">
        <f t="shared" si="25"/>
        <v>1.20285007991996</v>
      </c>
      <c r="Q86" s="172">
        <f t="shared" si="25"/>
        <v>4.9777658230559441</v>
      </c>
      <c r="R86" s="170">
        <f t="shared" si="25"/>
        <v>4.4932209840475208</v>
      </c>
      <c r="S86" s="170">
        <f t="shared" si="25"/>
        <v>4.7169300427429137</v>
      </c>
      <c r="T86" s="170">
        <f t="shared" si="25"/>
        <v>4.7027953987009372</v>
      </c>
      <c r="U86" s="174">
        <f t="shared" si="25"/>
        <v>3.988124843809417</v>
      </c>
      <c r="V86" s="175">
        <f t="shared" si="25"/>
        <v>1.3778929979236036</v>
      </c>
      <c r="W86" s="170">
        <f t="shared" si="26"/>
        <v>1.5395514601070375</v>
      </c>
      <c r="X86" s="170">
        <f t="shared" si="26"/>
        <v>1.3540838723324347</v>
      </c>
      <c r="Y86" s="170">
        <f t="shared" si="26"/>
        <v>1.9719207501978719</v>
      </c>
      <c r="Z86" s="170">
        <f t="shared" si="26"/>
        <v>2.3220562793095416</v>
      </c>
      <c r="AA86" s="170">
        <f t="shared" si="26"/>
        <v>3.2794163482316567</v>
      </c>
      <c r="AB86" s="173">
        <f t="shared" si="26"/>
        <v>2.2995852508196322</v>
      </c>
      <c r="AC86" s="170">
        <f>IF(A86="","",COUNTIF('Vika 36'!$B$5:$V$20,A86)+
COUNTIF('Vika 37'!$B$5:$V$20,A86)+
COUNTIF('Vika 38'!$B$5:$V$20,A86)+
COUNTIF('Vika 39'!$B$5:$V$20,A86)+
COUNTIF('Vika 40'!$B$5:$V$20,A86)+
COUNTIF('Vika 41'!$B$5:$V$20,A86)+
COUNTIF('Vika 42'!$B$5:$V$20,A86)+
COUNTIF('Vika 43'!$B$5:$V$20,A86)+
COUNTIF('Vika 44'!$B$5:$V$20,A86)+
COUNTIF('Vika 45'!$B$5:$V$20,A86)+
COUNTIF('Vika 46'!$B$5:$V$20,A86)+
COUNTIF('Vika 47'!$B$5:$V$20,A86)+
COUNTIF('Vika 48'!$B$5:$V$20,A86)+
COUNTIF('Vika x5'!$B$5:$V$20,A86))</f>
        <v>9</v>
      </c>
    </row>
    <row r="87" spans="1:30" x14ac:dyDescent="0.2">
      <c r="A87" s="155" t="s">
        <v>216</v>
      </c>
      <c r="B87" s="172">
        <v>3</v>
      </c>
      <c r="C87" s="170">
        <f t="shared" si="24"/>
        <v>2.4698283618351011</v>
      </c>
      <c r="D87" s="170">
        <f t="shared" si="24"/>
        <v>2.7105986558977788</v>
      </c>
      <c r="E87" s="170">
        <f t="shared" si="24"/>
        <v>2.568866432960446</v>
      </c>
      <c r="F87" s="173">
        <f t="shared" si="24"/>
        <v>2.3191196266377325</v>
      </c>
      <c r="G87" s="172">
        <f t="shared" si="24"/>
        <v>3.3940032837171454</v>
      </c>
      <c r="H87" s="170">
        <f t="shared" si="24"/>
        <v>2.726904452543689</v>
      </c>
      <c r="I87" s="170">
        <f t="shared" si="24"/>
        <v>3.0239063760452787</v>
      </c>
      <c r="J87" s="170">
        <f t="shared" si="24"/>
        <v>2.7208934989601339</v>
      </c>
      <c r="K87" s="173">
        <f t="shared" si="24"/>
        <v>2.861043514070257</v>
      </c>
      <c r="L87" s="172">
        <f t="shared" si="24"/>
        <v>2.6192534273628443</v>
      </c>
      <c r="M87" s="170">
        <f t="shared" si="25"/>
        <v>2.2146637314764095</v>
      </c>
      <c r="N87" s="170">
        <f t="shared" si="25"/>
        <v>2.4040177833895742</v>
      </c>
      <c r="O87" s="170">
        <f t="shared" si="25"/>
        <v>2.3955755140958925</v>
      </c>
      <c r="P87" s="173">
        <f t="shared" si="25"/>
        <v>1.8042751198799398</v>
      </c>
      <c r="Q87" s="172">
        <f t="shared" si="25"/>
        <v>7.4666487345839165</v>
      </c>
      <c r="R87" s="170">
        <f t="shared" si="25"/>
        <v>6.7398314760712807</v>
      </c>
      <c r="S87" s="170">
        <f t="shared" si="25"/>
        <v>7.075395064114371</v>
      </c>
      <c r="T87" s="170">
        <f t="shared" si="25"/>
        <v>7.0541930980514058</v>
      </c>
      <c r="U87" s="174">
        <f t="shared" si="25"/>
        <v>5.982187265714126</v>
      </c>
      <c r="V87" s="175">
        <f t="shared" si="25"/>
        <v>2.0668394968854056</v>
      </c>
      <c r="W87" s="170">
        <f t="shared" si="26"/>
        <v>2.3093271901605563</v>
      </c>
      <c r="X87" s="170">
        <f t="shared" si="26"/>
        <v>2.0311258084986519</v>
      </c>
      <c r="Y87" s="170">
        <f t="shared" si="26"/>
        <v>2.957881125296808</v>
      </c>
      <c r="Z87" s="170">
        <f t="shared" si="26"/>
        <v>3.4830844189643124</v>
      </c>
      <c r="AA87" s="170">
        <f t="shared" si="26"/>
        <v>4.9191245223474853</v>
      </c>
      <c r="AB87" s="173">
        <f t="shared" si="26"/>
        <v>3.4493778762294482</v>
      </c>
      <c r="AC87" s="170">
        <f>IF(A87="","",COUNTIF('Vika 36'!$B$5:$V$20,A87)+
COUNTIF('Vika 37'!$B$5:$V$20,A87)+
COUNTIF('Vika 38'!$B$5:$V$20,A87)+
COUNTIF('Vika 39'!$B$5:$V$20,A87)+
COUNTIF('Vika 40'!$B$5:$V$20,A87)+
COUNTIF('Vika 41'!$B$5:$V$20,A87)+
COUNTIF('Vika 42'!$B$5:$V$20,A87)+
COUNTIF('Vika 43'!$B$5:$V$20,A87)+
COUNTIF('Vika 44'!$B$5:$V$20,A87)+
COUNTIF('Vika 45'!$B$5:$V$20,A87)+
COUNTIF('Vika 46'!$B$5:$V$20,A87)+
COUNTIF('Vika 47'!$B$5:$V$20,A87)+
COUNTIF('Vika 48'!$B$5:$V$20,A87)+
COUNTIF('Vika x5'!$B$5:$V$20,A87))</f>
        <v>6</v>
      </c>
    </row>
    <row r="88" spans="1:30" x14ac:dyDescent="0.2">
      <c r="A88" s="155" t="s">
        <v>152</v>
      </c>
      <c r="B88" s="172">
        <v>3</v>
      </c>
      <c r="C88" s="170">
        <f t="shared" si="24"/>
        <v>2.4698283618351011</v>
      </c>
      <c r="D88" s="170">
        <f t="shared" si="24"/>
        <v>2.7105986558977788</v>
      </c>
      <c r="E88" s="170">
        <f t="shared" si="24"/>
        <v>2.568866432960446</v>
      </c>
      <c r="F88" s="173">
        <f t="shared" si="24"/>
        <v>2.3191196266377325</v>
      </c>
      <c r="G88" s="172">
        <f t="shared" si="24"/>
        <v>3.3940032837171454</v>
      </c>
      <c r="H88" s="170">
        <f t="shared" si="24"/>
        <v>2.726904452543689</v>
      </c>
      <c r="I88" s="170">
        <f t="shared" si="24"/>
        <v>3.0239063760452787</v>
      </c>
      <c r="J88" s="170">
        <f t="shared" si="24"/>
        <v>2.7208934989601339</v>
      </c>
      <c r="K88" s="173">
        <f t="shared" si="24"/>
        <v>2.861043514070257</v>
      </c>
      <c r="L88" s="172">
        <f t="shared" si="24"/>
        <v>2.6192534273628443</v>
      </c>
      <c r="M88" s="170">
        <f t="shared" si="25"/>
        <v>2.2146637314764095</v>
      </c>
      <c r="N88" s="170">
        <f t="shared" si="25"/>
        <v>2.4040177833895742</v>
      </c>
      <c r="O88" s="170">
        <f t="shared" si="25"/>
        <v>2.3955755140958925</v>
      </c>
      <c r="P88" s="173">
        <f t="shared" si="25"/>
        <v>1.8042751198799398</v>
      </c>
      <c r="Q88" s="172">
        <f t="shared" si="25"/>
        <v>7.4666487345839165</v>
      </c>
      <c r="R88" s="170">
        <f t="shared" si="25"/>
        <v>6.7398314760712807</v>
      </c>
      <c r="S88" s="170">
        <f t="shared" si="25"/>
        <v>7.075395064114371</v>
      </c>
      <c r="T88" s="170">
        <f t="shared" si="25"/>
        <v>7.0541930980514058</v>
      </c>
      <c r="U88" s="174">
        <f t="shared" si="25"/>
        <v>5.982187265714126</v>
      </c>
      <c r="V88" s="175">
        <f t="shared" si="25"/>
        <v>2.0668394968854056</v>
      </c>
      <c r="W88" s="170">
        <f t="shared" si="26"/>
        <v>2.3093271901605563</v>
      </c>
      <c r="X88" s="170">
        <f t="shared" si="26"/>
        <v>2.0311258084986519</v>
      </c>
      <c r="Y88" s="170">
        <f t="shared" si="26"/>
        <v>2.957881125296808</v>
      </c>
      <c r="Z88" s="170">
        <f t="shared" si="26"/>
        <v>3.4830844189643124</v>
      </c>
      <c r="AA88" s="170">
        <f t="shared" si="26"/>
        <v>4.9191245223474853</v>
      </c>
      <c r="AB88" s="173">
        <f t="shared" si="26"/>
        <v>3.4493778762294482</v>
      </c>
      <c r="AC88" s="170">
        <f>IF(A88="","",COUNTIF('Vika 36'!$B$5:$V$20,A88)+
COUNTIF('Vika 37'!$B$5:$V$20,A88)+
COUNTIF('Vika 38'!$B$5:$V$20,A88)+
COUNTIF('Vika 39'!$B$5:$V$20,A88)+
COUNTIF('Vika 40'!$B$5:$V$20,A88)+
COUNTIF('Vika 41'!$B$5:$V$20,A88)+
COUNTIF('Vika 42'!$B$5:$V$20,A88)+
COUNTIF('Vika 43'!$B$5:$V$20,A88)+
COUNTIF('Vika 44'!$B$5:$V$20,A88)+
COUNTIF('Vika 45'!$B$5:$V$20,A88)+
COUNTIF('Vika 46'!$B$5:$V$20,A88)+
COUNTIF('Vika 47'!$B$5:$V$20,A88)+
COUNTIF('Vika 48'!$B$5:$V$20,A88)+
COUNTIF('Vika x5'!$B$5:$V$20,A88))</f>
        <v>88</v>
      </c>
    </row>
    <row r="89" spans="1:30" x14ac:dyDescent="0.2">
      <c r="A89" s="155" t="s">
        <v>253</v>
      </c>
      <c r="B89" s="172">
        <v>6</v>
      </c>
      <c r="C89" s="170">
        <f t="shared" si="24"/>
        <v>4.9396567236702023</v>
      </c>
      <c r="D89" s="170">
        <f t="shared" si="24"/>
        <v>5.4211973117955576</v>
      </c>
      <c r="E89" s="170">
        <f t="shared" si="24"/>
        <v>5.1377328659208921</v>
      </c>
      <c r="F89" s="173">
        <f t="shared" si="24"/>
        <v>4.638239253275465</v>
      </c>
      <c r="G89" s="172">
        <f t="shared" si="24"/>
        <v>6.7880065674342909</v>
      </c>
      <c r="H89" s="170">
        <f t="shared" si="24"/>
        <v>5.4538089050873779</v>
      </c>
      <c r="I89" s="170">
        <f t="shared" si="24"/>
        <v>6.0478127520905574</v>
      </c>
      <c r="J89" s="170">
        <f t="shared" si="24"/>
        <v>5.4417869979202678</v>
      </c>
      <c r="K89" s="173">
        <f t="shared" si="24"/>
        <v>5.7220870281405141</v>
      </c>
      <c r="L89" s="172">
        <f t="shared" si="24"/>
        <v>5.2385068547256886</v>
      </c>
      <c r="M89" s="170">
        <f t="shared" si="25"/>
        <v>4.429327462952819</v>
      </c>
      <c r="N89" s="170">
        <f t="shared" si="25"/>
        <v>4.8080355667791483</v>
      </c>
      <c r="O89" s="170">
        <f t="shared" si="25"/>
        <v>4.7911510281917851</v>
      </c>
      <c r="P89" s="173">
        <f t="shared" si="25"/>
        <v>3.6085502397598797</v>
      </c>
      <c r="Q89" s="172">
        <f t="shared" si="25"/>
        <v>14.933297469167833</v>
      </c>
      <c r="R89" s="170">
        <f t="shared" si="25"/>
        <v>13.479662952142561</v>
      </c>
      <c r="S89" s="170">
        <f t="shared" si="25"/>
        <v>14.150790128228742</v>
      </c>
      <c r="T89" s="170">
        <f t="shared" si="25"/>
        <v>14.108386196102812</v>
      </c>
      <c r="U89" s="174">
        <f t="shared" si="25"/>
        <v>11.964374531428252</v>
      </c>
      <c r="V89" s="175">
        <f t="shared" si="25"/>
        <v>4.1336789937708112</v>
      </c>
      <c r="W89" s="170">
        <f t="shared" si="26"/>
        <v>4.6186543803211126</v>
      </c>
      <c r="X89" s="170">
        <f t="shared" si="26"/>
        <v>4.0622516169973037</v>
      </c>
      <c r="Y89" s="170">
        <f t="shared" si="26"/>
        <v>5.915762250593616</v>
      </c>
      <c r="Z89" s="170">
        <f t="shared" si="26"/>
        <v>6.9661688379286248</v>
      </c>
      <c r="AA89" s="170">
        <f t="shared" si="26"/>
        <v>9.8382490446949706</v>
      </c>
      <c r="AB89" s="173">
        <f t="shared" si="26"/>
        <v>6.8987557524588965</v>
      </c>
      <c r="AC89" s="170">
        <f>IF(A89="","",COUNTIF('Vika 36'!$B$5:$V$20,A89)+
COUNTIF('Vika 37'!$B$5:$V$20,A89)+
COUNTIF('Vika 38'!$B$5:$V$20,A89)+
COUNTIF('Vika 39'!$B$5:$V$20,A89)+
COUNTIF('Vika 40'!$B$5:$V$20,A89)+
COUNTIF('Vika 41'!$B$5:$V$20,A89)+
COUNTIF('Vika 42'!$B$5:$V$20,A89)+
COUNTIF('Vika 43'!$B$5:$V$20,A89)+
COUNTIF('Vika 44'!$B$5:$V$20,A89)+
COUNTIF('Vika 45'!$B$5:$V$20,A89)+
COUNTIF('Vika 46'!$B$5:$V$20,A89)+
COUNTIF('Vika 47'!$B$5:$V$20,A89)+
COUNTIF('Vika 48'!$B$5:$V$20,A89)+
COUNTIF('Vika x5'!$B$5:$V$20,A89))</f>
        <v>12</v>
      </c>
    </row>
    <row r="90" spans="1:30" x14ac:dyDescent="0.2">
      <c r="A90" s="155" t="s">
        <v>326</v>
      </c>
      <c r="B90" s="172" t="s">
        <v>327</v>
      </c>
      <c r="C90" s="170" t="e">
        <f t="shared" si="24"/>
        <v>#VALUE!</v>
      </c>
      <c r="D90" s="170" t="e">
        <f t="shared" si="24"/>
        <v>#VALUE!</v>
      </c>
      <c r="E90" s="170" t="e">
        <f t="shared" si="24"/>
        <v>#VALUE!</v>
      </c>
      <c r="F90" s="173" t="e">
        <f t="shared" si="24"/>
        <v>#VALUE!</v>
      </c>
      <c r="G90" s="172" t="e">
        <f t="shared" si="24"/>
        <v>#VALUE!</v>
      </c>
      <c r="H90" s="170" t="e">
        <f t="shared" si="24"/>
        <v>#VALUE!</v>
      </c>
      <c r="I90" s="170" t="e">
        <f t="shared" si="24"/>
        <v>#VALUE!</v>
      </c>
      <c r="J90" s="170" t="e">
        <f t="shared" si="24"/>
        <v>#VALUE!</v>
      </c>
      <c r="K90" s="173" t="e">
        <f t="shared" si="24"/>
        <v>#VALUE!</v>
      </c>
      <c r="L90" s="172" t="e">
        <f t="shared" si="24"/>
        <v>#VALUE!</v>
      </c>
      <c r="M90" s="170" t="e">
        <f t="shared" si="25"/>
        <v>#VALUE!</v>
      </c>
      <c r="N90" s="170" t="e">
        <f t="shared" si="25"/>
        <v>#VALUE!</v>
      </c>
      <c r="O90" s="170" t="e">
        <f t="shared" si="25"/>
        <v>#VALUE!</v>
      </c>
      <c r="P90" s="173" t="e">
        <f t="shared" si="25"/>
        <v>#VALUE!</v>
      </c>
      <c r="Q90" s="172" t="e">
        <f t="shared" si="25"/>
        <v>#VALUE!</v>
      </c>
      <c r="R90" s="170" t="e">
        <f t="shared" si="25"/>
        <v>#VALUE!</v>
      </c>
      <c r="S90" s="170" t="e">
        <f t="shared" si="25"/>
        <v>#VALUE!</v>
      </c>
      <c r="T90" s="170" t="e">
        <f t="shared" si="25"/>
        <v>#VALUE!</v>
      </c>
      <c r="U90" s="174" t="e">
        <f t="shared" si="25"/>
        <v>#VALUE!</v>
      </c>
      <c r="V90" s="175" t="e">
        <f t="shared" si="25"/>
        <v>#VALUE!</v>
      </c>
      <c r="W90" s="170" t="e">
        <f t="shared" si="26"/>
        <v>#VALUE!</v>
      </c>
      <c r="X90" s="170" t="e">
        <f t="shared" si="26"/>
        <v>#VALUE!</v>
      </c>
      <c r="Y90" s="170" t="e">
        <f t="shared" si="26"/>
        <v>#VALUE!</v>
      </c>
      <c r="Z90" s="170" t="e">
        <f t="shared" si="26"/>
        <v>#VALUE!</v>
      </c>
      <c r="AA90" s="170" t="e">
        <f t="shared" si="26"/>
        <v>#VALUE!</v>
      </c>
      <c r="AB90" s="173" t="e">
        <f t="shared" si="26"/>
        <v>#VALUE!</v>
      </c>
      <c r="AC90" s="170">
        <f>IF(A90="","",COUNTIF('Vika 36'!$B$5:$V$20,A90)+
COUNTIF('Vika 37'!$B$5:$V$20,A90)+
COUNTIF('Vika 38'!$B$5:$V$20,A90)+
COUNTIF('Vika 39'!$B$5:$V$20,A90)+
COUNTIF('Vika 40'!$B$5:$V$20,A90)+
COUNTIF('Vika 41'!$B$5:$V$20,A90)+
COUNTIF('Vika 42'!$B$5:$V$20,A90)+
COUNTIF('Vika 43'!$B$5:$V$20,A90)+
COUNTIF('Vika 44'!$B$5:$V$20,A90)+
COUNTIF('Vika 45'!$B$5:$V$20,A90)+
COUNTIF('Vika 46'!$B$5:$V$20,A90)+
COUNTIF('Vika 47'!$B$5:$V$20,A90)+
COUNTIF('Vika 48'!$B$5:$V$20,A90)+
COUNTIF('Vika x5'!$B$5:$V$20,A90))</f>
        <v>1</v>
      </c>
    </row>
    <row r="91" spans="1:30" x14ac:dyDescent="0.2">
      <c r="A91" s="155"/>
      <c r="B91" s="172"/>
      <c r="C91" s="170" t="str">
        <f t="shared" si="24"/>
        <v>-</v>
      </c>
      <c r="D91" s="170" t="str">
        <f t="shared" si="24"/>
        <v>-</v>
      </c>
      <c r="E91" s="170" t="str">
        <f t="shared" si="24"/>
        <v>-</v>
      </c>
      <c r="F91" s="173" t="str">
        <f t="shared" si="24"/>
        <v>-</v>
      </c>
      <c r="G91" s="172" t="str">
        <f t="shared" si="24"/>
        <v>-</v>
      </c>
      <c r="H91" s="170" t="str">
        <f t="shared" si="24"/>
        <v>-</v>
      </c>
      <c r="I91" s="170" t="str">
        <f t="shared" si="24"/>
        <v>-</v>
      </c>
      <c r="J91" s="170" t="str">
        <f t="shared" si="24"/>
        <v>-</v>
      </c>
      <c r="K91" s="173" t="str">
        <f t="shared" si="24"/>
        <v>-</v>
      </c>
      <c r="L91" s="172" t="str">
        <f t="shared" si="24"/>
        <v>-</v>
      </c>
      <c r="M91" s="170" t="str">
        <f t="shared" si="25"/>
        <v>-</v>
      </c>
      <c r="N91" s="170" t="str">
        <f t="shared" si="25"/>
        <v>-</v>
      </c>
      <c r="O91" s="170" t="str">
        <f t="shared" si="25"/>
        <v>-</v>
      </c>
      <c r="P91" s="173" t="str">
        <f t="shared" si="25"/>
        <v>-</v>
      </c>
      <c r="Q91" s="172" t="str">
        <f t="shared" si="25"/>
        <v>-</v>
      </c>
      <c r="R91" s="170" t="str">
        <f t="shared" si="25"/>
        <v>-</v>
      </c>
      <c r="S91" s="170" t="str">
        <f t="shared" si="25"/>
        <v>-</v>
      </c>
      <c r="T91" s="170" t="str">
        <f t="shared" si="25"/>
        <v>-</v>
      </c>
      <c r="U91" s="174" t="str">
        <f t="shared" si="25"/>
        <v>-</v>
      </c>
      <c r="V91" s="175" t="str">
        <f t="shared" si="25"/>
        <v>-</v>
      </c>
      <c r="W91" s="170" t="str">
        <f t="shared" si="26"/>
        <v>-</v>
      </c>
      <c r="X91" s="170" t="str">
        <f t="shared" si="26"/>
        <v>-</v>
      </c>
      <c r="Y91" s="170" t="str">
        <f t="shared" si="26"/>
        <v>-</v>
      </c>
      <c r="Z91" s="170" t="str">
        <f t="shared" si="26"/>
        <v>-</v>
      </c>
      <c r="AA91" s="170" t="str">
        <f t="shared" si="26"/>
        <v>-</v>
      </c>
      <c r="AB91" s="173" t="str">
        <f t="shared" si="26"/>
        <v>-</v>
      </c>
      <c r="AC91" s="170" t="str">
        <f>IF(A91="","",COUNTIF('Vika 36'!$B$5:$V$20,A91)+
COUNTIF('Vika 37'!$B$5:$V$20,A91)+
COUNTIF('Vika 38'!$B$5:$V$20,A91)+
COUNTIF('Vika 39'!$B$5:$V$20,A91)+
COUNTIF('Vika 40'!$B$5:$V$20,A91)+
COUNTIF('Vika 41'!$B$5:$V$20,A91)+
COUNTIF('Vika 42'!$B$5:$V$20,A91)+
COUNTIF('Vika 43'!$B$5:$V$20,A91)+
COUNTIF('Vika 44'!$B$5:$V$20,A91)+
COUNTIF('Vika 45'!$B$5:$V$20,A91)+
COUNTIF('Vika 46'!$B$5:$V$20,A91)+
COUNTIF('Vika 47'!$B$5:$V$20,A91)+
COUNTIF('Vika 48'!$B$5:$V$20,A91)+
COUNTIF('Vika x5'!$B$5:$V$20,A91))</f>
        <v/>
      </c>
    </row>
    <row r="92" spans="1:30" x14ac:dyDescent="0.2">
      <c r="A92" s="155"/>
      <c r="B92" s="172"/>
      <c r="C92" s="170" t="str">
        <f t="shared" si="24"/>
        <v>-</v>
      </c>
      <c r="D92" s="170" t="str">
        <f t="shared" si="24"/>
        <v>-</v>
      </c>
      <c r="E92" s="170" t="str">
        <f t="shared" si="24"/>
        <v>-</v>
      </c>
      <c r="F92" s="173" t="str">
        <f t="shared" si="24"/>
        <v>-</v>
      </c>
      <c r="G92" s="172" t="str">
        <f t="shared" si="24"/>
        <v>-</v>
      </c>
      <c r="H92" s="170" t="str">
        <f t="shared" si="24"/>
        <v>-</v>
      </c>
      <c r="I92" s="170" t="str">
        <f t="shared" si="24"/>
        <v>-</v>
      </c>
      <c r="J92" s="170" t="str">
        <f t="shared" si="24"/>
        <v>-</v>
      </c>
      <c r="K92" s="173" t="str">
        <f t="shared" si="24"/>
        <v>-</v>
      </c>
      <c r="L92" s="172" t="str">
        <f t="shared" si="24"/>
        <v>-</v>
      </c>
      <c r="M92" s="170" t="str">
        <f t="shared" si="25"/>
        <v>-</v>
      </c>
      <c r="N92" s="170" t="str">
        <f t="shared" si="25"/>
        <v>-</v>
      </c>
      <c r="O92" s="170" t="str">
        <f t="shared" si="25"/>
        <v>-</v>
      </c>
      <c r="P92" s="173" t="str">
        <f t="shared" si="25"/>
        <v>-</v>
      </c>
      <c r="Q92" s="172" t="str">
        <f t="shared" si="25"/>
        <v>-</v>
      </c>
      <c r="R92" s="170" t="str">
        <f t="shared" si="25"/>
        <v>-</v>
      </c>
      <c r="S92" s="170" t="str">
        <f t="shared" si="25"/>
        <v>-</v>
      </c>
      <c r="T92" s="170" t="str">
        <f t="shared" si="25"/>
        <v>-</v>
      </c>
      <c r="U92" s="174" t="str">
        <f t="shared" si="25"/>
        <v>-</v>
      </c>
      <c r="V92" s="175" t="str">
        <f t="shared" si="25"/>
        <v>-</v>
      </c>
      <c r="W92" s="170" t="str">
        <f t="shared" si="26"/>
        <v>-</v>
      </c>
      <c r="X92" s="170" t="str">
        <f t="shared" si="26"/>
        <v>-</v>
      </c>
      <c r="Y92" s="170" t="str">
        <f t="shared" si="26"/>
        <v>-</v>
      </c>
      <c r="Z92" s="170" t="str">
        <f t="shared" si="26"/>
        <v>-</v>
      </c>
      <c r="AA92" s="170" t="str">
        <f t="shared" si="26"/>
        <v>-</v>
      </c>
      <c r="AB92" s="173" t="str">
        <f t="shared" si="26"/>
        <v>-</v>
      </c>
      <c r="AC92" s="170" t="str">
        <f>IF(A92="","",COUNTIF('Vika 36'!$B$5:$V$20,A92)+
COUNTIF('Vika 37'!$B$5:$V$20,A92)+
COUNTIF('Vika 38'!$B$5:$V$20,A92)+
COUNTIF('Vika 39'!$B$5:$V$20,A92)+
COUNTIF('Vika 40'!$B$5:$V$20,A92)+
COUNTIF('Vika 41'!$B$5:$V$20,A92)+
COUNTIF('Vika 42'!$B$5:$V$20,A92)+
COUNTIF('Vika 43'!$B$5:$V$20,A92)+
COUNTIF('Vika 44'!$B$5:$V$20,A92)+
COUNTIF('Vika 45'!$B$5:$V$20,A92)+
COUNTIF('Vika 46'!$B$5:$V$20,A92)+
COUNTIF('Vika 47'!$B$5:$V$20,A92)+
COUNTIF('Vika 48'!$B$5:$V$20,A92)+
COUNTIF('Vika x5'!$B$5:$V$20,A92))</f>
        <v/>
      </c>
    </row>
    <row r="93" spans="1:30" x14ac:dyDescent="0.2">
      <c r="A93" s="155"/>
      <c r="B93" s="172"/>
      <c r="C93" s="170" t="str">
        <f t="shared" ref="C93:L102" si="27">IF(OR($B93="-",$B93=""),"-",$B93*C$203)</f>
        <v>-</v>
      </c>
      <c r="D93" s="170" t="str">
        <f t="shared" si="27"/>
        <v>-</v>
      </c>
      <c r="E93" s="170" t="str">
        <f t="shared" si="27"/>
        <v>-</v>
      </c>
      <c r="F93" s="173" t="str">
        <f t="shared" si="27"/>
        <v>-</v>
      </c>
      <c r="G93" s="172" t="str">
        <f t="shared" si="27"/>
        <v>-</v>
      </c>
      <c r="H93" s="170" t="str">
        <f t="shared" si="27"/>
        <v>-</v>
      </c>
      <c r="I93" s="170" t="str">
        <f t="shared" si="27"/>
        <v>-</v>
      </c>
      <c r="J93" s="170" t="str">
        <f t="shared" si="27"/>
        <v>-</v>
      </c>
      <c r="K93" s="173" t="str">
        <f t="shared" si="27"/>
        <v>-</v>
      </c>
      <c r="L93" s="172" t="str">
        <f t="shared" si="27"/>
        <v>-</v>
      </c>
      <c r="M93" s="170" t="str">
        <f t="shared" ref="M93:V102" si="28">IF(OR($B93="-",$B93=""),"-",$B93*M$203)</f>
        <v>-</v>
      </c>
      <c r="N93" s="170" t="str">
        <f t="shared" si="28"/>
        <v>-</v>
      </c>
      <c r="O93" s="170" t="str">
        <f t="shared" si="28"/>
        <v>-</v>
      </c>
      <c r="P93" s="173" t="str">
        <f t="shared" si="28"/>
        <v>-</v>
      </c>
      <c r="Q93" s="172" t="str">
        <f t="shared" si="28"/>
        <v>-</v>
      </c>
      <c r="R93" s="170" t="str">
        <f t="shared" si="28"/>
        <v>-</v>
      </c>
      <c r="S93" s="170" t="str">
        <f t="shared" si="28"/>
        <v>-</v>
      </c>
      <c r="T93" s="170" t="str">
        <f t="shared" si="28"/>
        <v>-</v>
      </c>
      <c r="U93" s="174" t="str">
        <f t="shared" si="28"/>
        <v>-</v>
      </c>
      <c r="V93" s="175" t="str">
        <f t="shared" si="28"/>
        <v>-</v>
      </c>
      <c r="W93" s="170" t="str">
        <f t="shared" ref="W93:AB102" si="29">IF(OR($B93="-",$B93=""),"-",$B93*W$203)</f>
        <v>-</v>
      </c>
      <c r="X93" s="170" t="str">
        <f t="shared" si="29"/>
        <v>-</v>
      </c>
      <c r="Y93" s="170" t="str">
        <f t="shared" si="29"/>
        <v>-</v>
      </c>
      <c r="Z93" s="170" t="str">
        <f t="shared" si="29"/>
        <v>-</v>
      </c>
      <c r="AA93" s="170" t="str">
        <f t="shared" si="29"/>
        <v>-</v>
      </c>
      <c r="AB93" s="173" t="str">
        <f t="shared" si="29"/>
        <v>-</v>
      </c>
      <c r="AC93" s="170" t="str">
        <f>IF(A93="","",COUNTIF('Vika 36'!$B$5:$V$20,A93)+
COUNTIF('Vika 37'!$B$5:$V$20,A93)+
COUNTIF('Vika 38'!$B$5:$V$20,A93)+
COUNTIF('Vika 39'!$B$5:$V$20,A93)+
COUNTIF('Vika 40'!$B$5:$V$20,A93)+
COUNTIF('Vika 41'!$B$5:$V$20,A93)+
COUNTIF('Vika 42'!$B$5:$V$20,A93)+
COUNTIF('Vika 43'!$B$5:$V$20,A93)+
COUNTIF('Vika 44'!$B$5:$V$20,A93)+
COUNTIF('Vika 45'!$B$5:$V$20,A93)+
COUNTIF('Vika 46'!$B$5:$V$20,A93)+
COUNTIF('Vika 47'!$B$5:$V$20,A93)+
COUNTIF('Vika 48'!$B$5:$V$20,A93)+
COUNTIF('Vika x5'!$B$5:$V$20,A93))</f>
        <v/>
      </c>
    </row>
    <row r="94" spans="1:30" x14ac:dyDescent="0.2">
      <c r="A94" s="155"/>
      <c r="B94" s="172"/>
      <c r="C94" s="170" t="str">
        <f t="shared" si="27"/>
        <v>-</v>
      </c>
      <c r="D94" s="170" t="str">
        <f t="shared" si="27"/>
        <v>-</v>
      </c>
      <c r="E94" s="170" t="str">
        <f t="shared" si="27"/>
        <v>-</v>
      </c>
      <c r="F94" s="173" t="str">
        <f t="shared" si="27"/>
        <v>-</v>
      </c>
      <c r="G94" s="172" t="str">
        <f t="shared" si="27"/>
        <v>-</v>
      </c>
      <c r="H94" s="170" t="str">
        <f t="shared" si="27"/>
        <v>-</v>
      </c>
      <c r="I94" s="170" t="str">
        <f t="shared" si="27"/>
        <v>-</v>
      </c>
      <c r="J94" s="170" t="str">
        <f t="shared" si="27"/>
        <v>-</v>
      </c>
      <c r="K94" s="173" t="str">
        <f t="shared" si="27"/>
        <v>-</v>
      </c>
      <c r="L94" s="172" t="str">
        <f t="shared" si="27"/>
        <v>-</v>
      </c>
      <c r="M94" s="170" t="str">
        <f t="shared" si="28"/>
        <v>-</v>
      </c>
      <c r="N94" s="170" t="str">
        <f t="shared" si="28"/>
        <v>-</v>
      </c>
      <c r="O94" s="170" t="str">
        <f t="shared" si="28"/>
        <v>-</v>
      </c>
      <c r="P94" s="173" t="str">
        <f t="shared" si="28"/>
        <v>-</v>
      </c>
      <c r="Q94" s="172" t="str">
        <f t="shared" si="28"/>
        <v>-</v>
      </c>
      <c r="R94" s="170" t="str">
        <f t="shared" si="28"/>
        <v>-</v>
      </c>
      <c r="S94" s="170" t="str">
        <f t="shared" si="28"/>
        <v>-</v>
      </c>
      <c r="T94" s="170" t="str">
        <f t="shared" si="28"/>
        <v>-</v>
      </c>
      <c r="U94" s="174" t="str">
        <f t="shared" si="28"/>
        <v>-</v>
      </c>
      <c r="V94" s="175" t="str">
        <f t="shared" si="28"/>
        <v>-</v>
      </c>
      <c r="W94" s="170" t="str">
        <f t="shared" si="29"/>
        <v>-</v>
      </c>
      <c r="X94" s="170" t="str">
        <f t="shared" si="29"/>
        <v>-</v>
      </c>
      <c r="Y94" s="170" t="str">
        <f t="shared" si="29"/>
        <v>-</v>
      </c>
      <c r="Z94" s="170" t="str">
        <f t="shared" si="29"/>
        <v>-</v>
      </c>
      <c r="AA94" s="170" t="str">
        <f t="shared" si="29"/>
        <v>-</v>
      </c>
      <c r="AB94" s="173" t="str">
        <f t="shared" si="29"/>
        <v>-</v>
      </c>
      <c r="AC94" s="170" t="str">
        <f>IF(A94="","",COUNTIF('Vika 36'!$B$5:$V$20,A94)+
COUNTIF('Vika 37'!$B$5:$V$20,A94)+
COUNTIF('Vika 38'!$B$5:$V$20,A94)+
COUNTIF('Vika 39'!$B$5:$V$20,A94)+
COUNTIF('Vika 40'!$B$5:$V$20,A94)+
COUNTIF('Vika 41'!$B$5:$V$20,A94)+
COUNTIF('Vika 42'!$B$5:$V$20,A94)+
COUNTIF('Vika 43'!$B$5:$V$20,A94)+
COUNTIF('Vika 44'!$B$5:$V$20,A94)+
COUNTIF('Vika 45'!$B$5:$V$20,A94)+
COUNTIF('Vika 46'!$B$5:$V$20,A94)+
COUNTIF('Vika 47'!$B$5:$V$20,A94)+
COUNTIF('Vika 48'!$B$5:$V$20,A94)+
COUNTIF('Vika x5'!$B$5:$V$20,A94))</f>
        <v/>
      </c>
    </row>
    <row r="95" spans="1:30" x14ac:dyDescent="0.2">
      <c r="A95" s="155"/>
      <c r="B95" s="172"/>
      <c r="C95" s="170" t="str">
        <f t="shared" si="27"/>
        <v>-</v>
      </c>
      <c r="D95" s="170" t="str">
        <f t="shared" si="27"/>
        <v>-</v>
      </c>
      <c r="E95" s="170" t="str">
        <f t="shared" si="27"/>
        <v>-</v>
      </c>
      <c r="F95" s="173" t="str">
        <f t="shared" si="27"/>
        <v>-</v>
      </c>
      <c r="G95" s="172" t="str">
        <f t="shared" si="27"/>
        <v>-</v>
      </c>
      <c r="H95" s="170" t="str">
        <f t="shared" si="27"/>
        <v>-</v>
      </c>
      <c r="I95" s="170" t="str">
        <f t="shared" si="27"/>
        <v>-</v>
      </c>
      <c r="J95" s="170" t="str">
        <f t="shared" si="27"/>
        <v>-</v>
      </c>
      <c r="K95" s="173" t="str">
        <f t="shared" si="27"/>
        <v>-</v>
      </c>
      <c r="L95" s="172" t="str">
        <f t="shared" si="27"/>
        <v>-</v>
      </c>
      <c r="M95" s="170" t="str">
        <f t="shared" si="28"/>
        <v>-</v>
      </c>
      <c r="N95" s="170" t="str">
        <f t="shared" si="28"/>
        <v>-</v>
      </c>
      <c r="O95" s="170" t="str">
        <f t="shared" si="28"/>
        <v>-</v>
      </c>
      <c r="P95" s="173" t="str">
        <f t="shared" si="28"/>
        <v>-</v>
      </c>
      <c r="Q95" s="172" t="str">
        <f t="shared" si="28"/>
        <v>-</v>
      </c>
      <c r="R95" s="170" t="str">
        <f t="shared" si="28"/>
        <v>-</v>
      </c>
      <c r="S95" s="170" t="str">
        <f t="shared" si="28"/>
        <v>-</v>
      </c>
      <c r="T95" s="170" t="str">
        <f t="shared" si="28"/>
        <v>-</v>
      </c>
      <c r="U95" s="174" t="str">
        <f t="shared" si="28"/>
        <v>-</v>
      </c>
      <c r="V95" s="175" t="str">
        <f t="shared" si="28"/>
        <v>-</v>
      </c>
      <c r="W95" s="170" t="str">
        <f t="shared" si="29"/>
        <v>-</v>
      </c>
      <c r="X95" s="170" t="str">
        <f t="shared" si="29"/>
        <v>-</v>
      </c>
      <c r="Y95" s="170" t="str">
        <f t="shared" si="29"/>
        <v>-</v>
      </c>
      <c r="Z95" s="170" t="str">
        <f t="shared" si="29"/>
        <v>-</v>
      </c>
      <c r="AA95" s="170" t="str">
        <f t="shared" si="29"/>
        <v>-</v>
      </c>
      <c r="AB95" s="173" t="str">
        <f t="shared" si="29"/>
        <v>-</v>
      </c>
      <c r="AC95" s="170" t="str">
        <f>IF(A95="","",COUNTIF('Vika 36'!$B$5:$V$20,A95)+
COUNTIF('Vika 37'!$B$5:$V$20,A95)+
COUNTIF('Vika 38'!$B$5:$V$20,A95)+
COUNTIF('Vika 39'!$B$5:$V$20,A95)+
COUNTIF('Vika 40'!$B$5:$V$20,A95)+
COUNTIF('Vika 41'!$B$5:$V$20,A95)+
COUNTIF('Vika 42'!$B$5:$V$20,A95)+
COUNTIF('Vika 43'!$B$5:$V$20,A95)+
COUNTIF('Vika 44'!$B$5:$V$20,A95)+
COUNTIF('Vika 45'!$B$5:$V$20,A95)+
COUNTIF('Vika 46'!$B$5:$V$20,A95)+
COUNTIF('Vika 47'!$B$5:$V$20,A95)+
COUNTIF('Vika 48'!$B$5:$V$20,A95)+
COUNTIF('Vika x5'!$B$5:$V$20,A95))</f>
        <v/>
      </c>
    </row>
    <row r="96" spans="1:30" x14ac:dyDescent="0.2">
      <c r="A96" s="155"/>
      <c r="B96" s="172"/>
      <c r="C96" s="170" t="str">
        <f t="shared" si="27"/>
        <v>-</v>
      </c>
      <c r="D96" s="170" t="str">
        <f t="shared" si="27"/>
        <v>-</v>
      </c>
      <c r="E96" s="170" t="str">
        <f t="shared" si="27"/>
        <v>-</v>
      </c>
      <c r="F96" s="173" t="str">
        <f t="shared" si="27"/>
        <v>-</v>
      </c>
      <c r="G96" s="172" t="str">
        <f t="shared" si="27"/>
        <v>-</v>
      </c>
      <c r="H96" s="170" t="str">
        <f t="shared" si="27"/>
        <v>-</v>
      </c>
      <c r="I96" s="170" t="str">
        <f t="shared" si="27"/>
        <v>-</v>
      </c>
      <c r="J96" s="170" t="str">
        <f t="shared" si="27"/>
        <v>-</v>
      </c>
      <c r="K96" s="173" t="str">
        <f t="shared" si="27"/>
        <v>-</v>
      </c>
      <c r="L96" s="172" t="str">
        <f t="shared" si="27"/>
        <v>-</v>
      </c>
      <c r="M96" s="170" t="str">
        <f t="shared" si="28"/>
        <v>-</v>
      </c>
      <c r="N96" s="170" t="str">
        <f t="shared" si="28"/>
        <v>-</v>
      </c>
      <c r="O96" s="170" t="str">
        <f t="shared" si="28"/>
        <v>-</v>
      </c>
      <c r="P96" s="173" t="str">
        <f t="shared" si="28"/>
        <v>-</v>
      </c>
      <c r="Q96" s="172" t="str">
        <f t="shared" si="28"/>
        <v>-</v>
      </c>
      <c r="R96" s="170" t="str">
        <f t="shared" si="28"/>
        <v>-</v>
      </c>
      <c r="S96" s="170" t="str">
        <f t="shared" si="28"/>
        <v>-</v>
      </c>
      <c r="T96" s="170" t="str">
        <f t="shared" si="28"/>
        <v>-</v>
      </c>
      <c r="U96" s="174" t="str">
        <f t="shared" si="28"/>
        <v>-</v>
      </c>
      <c r="V96" s="175" t="str">
        <f t="shared" si="28"/>
        <v>-</v>
      </c>
      <c r="W96" s="170" t="str">
        <f t="shared" si="29"/>
        <v>-</v>
      </c>
      <c r="X96" s="170" t="str">
        <f t="shared" si="29"/>
        <v>-</v>
      </c>
      <c r="Y96" s="170" t="str">
        <f t="shared" si="29"/>
        <v>-</v>
      </c>
      <c r="Z96" s="170" t="str">
        <f t="shared" si="29"/>
        <v>-</v>
      </c>
      <c r="AA96" s="170" t="str">
        <f t="shared" si="29"/>
        <v>-</v>
      </c>
      <c r="AB96" s="173" t="str">
        <f t="shared" si="29"/>
        <v>-</v>
      </c>
      <c r="AC96" s="170" t="str">
        <f>IF(A96="","",COUNTIF('Vika 36'!$B$5:$V$20,A96)+
COUNTIF('Vika 37'!$B$5:$V$20,A96)+
COUNTIF('Vika 38'!$B$5:$V$20,A96)+
COUNTIF('Vika 39'!$B$5:$V$20,A96)+
COUNTIF('Vika 40'!$B$5:$V$20,A96)+
COUNTIF('Vika 41'!$B$5:$V$20,A96)+
COUNTIF('Vika 42'!$B$5:$V$20,A96)+
COUNTIF('Vika 43'!$B$5:$V$20,A96)+
COUNTIF('Vika 44'!$B$5:$V$20,A96)+
COUNTIF('Vika 45'!$B$5:$V$20,A96)+
COUNTIF('Vika 46'!$B$5:$V$20,A96)+
COUNTIF('Vika 47'!$B$5:$V$20,A96)+
COUNTIF('Vika 48'!$B$5:$V$20,A96)+
COUNTIF('Vika x5'!$B$5:$V$20,A96))</f>
        <v/>
      </c>
    </row>
    <row r="97" spans="1:29" x14ac:dyDescent="0.2">
      <c r="A97" s="155"/>
      <c r="B97" s="172"/>
      <c r="C97" s="170" t="str">
        <f t="shared" si="27"/>
        <v>-</v>
      </c>
      <c r="D97" s="170" t="str">
        <f t="shared" si="27"/>
        <v>-</v>
      </c>
      <c r="E97" s="170" t="str">
        <f t="shared" si="27"/>
        <v>-</v>
      </c>
      <c r="F97" s="173" t="str">
        <f t="shared" si="27"/>
        <v>-</v>
      </c>
      <c r="G97" s="172" t="str">
        <f t="shared" si="27"/>
        <v>-</v>
      </c>
      <c r="H97" s="170" t="str">
        <f t="shared" si="27"/>
        <v>-</v>
      </c>
      <c r="I97" s="170" t="str">
        <f t="shared" si="27"/>
        <v>-</v>
      </c>
      <c r="J97" s="170" t="str">
        <f t="shared" si="27"/>
        <v>-</v>
      </c>
      <c r="K97" s="173" t="str">
        <f t="shared" si="27"/>
        <v>-</v>
      </c>
      <c r="L97" s="172" t="str">
        <f t="shared" si="27"/>
        <v>-</v>
      </c>
      <c r="M97" s="170" t="str">
        <f t="shared" si="28"/>
        <v>-</v>
      </c>
      <c r="N97" s="170" t="str">
        <f t="shared" si="28"/>
        <v>-</v>
      </c>
      <c r="O97" s="170" t="str">
        <f t="shared" si="28"/>
        <v>-</v>
      </c>
      <c r="P97" s="173" t="str">
        <f t="shared" si="28"/>
        <v>-</v>
      </c>
      <c r="Q97" s="172" t="str">
        <f t="shared" si="28"/>
        <v>-</v>
      </c>
      <c r="R97" s="170" t="str">
        <f t="shared" si="28"/>
        <v>-</v>
      </c>
      <c r="S97" s="170" t="str">
        <f t="shared" si="28"/>
        <v>-</v>
      </c>
      <c r="T97" s="170" t="str">
        <f t="shared" si="28"/>
        <v>-</v>
      </c>
      <c r="U97" s="174" t="str">
        <f t="shared" si="28"/>
        <v>-</v>
      </c>
      <c r="V97" s="175" t="str">
        <f t="shared" si="28"/>
        <v>-</v>
      </c>
      <c r="W97" s="170" t="str">
        <f t="shared" si="29"/>
        <v>-</v>
      </c>
      <c r="X97" s="170" t="str">
        <f t="shared" si="29"/>
        <v>-</v>
      </c>
      <c r="Y97" s="170" t="str">
        <f t="shared" si="29"/>
        <v>-</v>
      </c>
      <c r="Z97" s="170" t="str">
        <f t="shared" si="29"/>
        <v>-</v>
      </c>
      <c r="AA97" s="170" t="str">
        <f t="shared" si="29"/>
        <v>-</v>
      </c>
      <c r="AB97" s="173" t="str">
        <f t="shared" si="29"/>
        <v>-</v>
      </c>
      <c r="AC97" s="170" t="str">
        <f>IF(A97="","",COUNTIF('Vika 36'!$B$5:$V$20,A97)+
COUNTIF('Vika 37'!$B$5:$V$20,A97)+
COUNTIF('Vika 38'!$B$5:$V$20,A97)+
COUNTIF('Vika 39'!$B$5:$V$20,A97)+
COUNTIF('Vika 40'!$B$5:$V$20,A97)+
COUNTIF('Vika 41'!$B$5:$V$20,A97)+
COUNTIF('Vika 42'!$B$5:$V$20,A97)+
COUNTIF('Vika 43'!$B$5:$V$20,A97)+
COUNTIF('Vika 44'!$B$5:$V$20,A97)+
COUNTIF('Vika 45'!$B$5:$V$20,A97)+
COUNTIF('Vika 46'!$B$5:$V$20,A97)+
COUNTIF('Vika 47'!$B$5:$V$20,A97)+
COUNTIF('Vika 48'!$B$5:$V$20,A97)+
COUNTIF('Vika x5'!$B$5:$V$20,A97))</f>
        <v/>
      </c>
    </row>
    <row r="98" spans="1:29" x14ac:dyDescent="0.2">
      <c r="A98" s="155"/>
      <c r="B98" s="172"/>
      <c r="C98" s="170" t="str">
        <f t="shared" si="27"/>
        <v>-</v>
      </c>
      <c r="D98" s="170" t="str">
        <f t="shared" si="27"/>
        <v>-</v>
      </c>
      <c r="E98" s="170" t="str">
        <f t="shared" si="27"/>
        <v>-</v>
      </c>
      <c r="F98" s="173" t="str">
        <f t="shared" si="27"/>
        <v>-</v>
      </c>
      <c r="G98" s="172" t="str">
        <f t="shared" si="27"/>
        <v>-</v>
      </c>
      <c r="H98" s="170" t="str">
        <f t="shared" si="27"/>
        <v>-</v>
      </c>
      <c r="I98" s="170" t="str">
        <f t="shared" si="27"/>
        <v>-</v>
      </c>
      <c r="J98" s="170" t="str">
        <f t="shared" si="27"/>
        <v>-</v>
      </c>
      <c r="K98" s="173" t="str">
        <f t="shared" si="27"/>
        <v>-</v>
      </c>
      <c r="L98" s="172" t="str">
        <f t="shared" si="27"/>
        <v>-</v>
      </c>
      <c r="M98" s="170" t="str">
        <f t="shared" si="28"/>
        <v>-</v>
      </c>
      <c r="N98" s="170" t="str">
        <f t="shared" si="28"/>
        <v>-</v>
      </c>
      <c r="O98" s="170" t="str">
        <f t="shared" si="28"/>
        <v>-</v>
      </c>
      <c r="P98" s="173" t="str">
        <f t="shared" si="28"/>
        <v>-</v>
      </c>
      <c r="Q98" s="172" t="str">
        <f t="shared" si="28"/>
        <v>-</v>
      </c>
      <c r="R98" s="170" t="str">
        <f t="shared" si="28"/>
        <v>-</v>
      </c>
      <c r="S98" s="170" t="str">
        <f t="shared" si="28"/>
        <v>-</v>
      </c>
      <c r="T98" s="170" t="str">
        <f t="shared" si="28"/>
        <v>-</v>
      </c>
      <c r="U98" s="174" t="str">
        <f t="shared" si="28"/>
        <v>-</v>
      </c>
      <c r="V98" s="175" t="str">
        <f t="shared" si="28"/>
        <v>-</v>
      </c>
      <c r="W98" s="170" t="str">
        <f t="shared" si="29"/>
        <v>-</v>
      </c>
      <c r="X98" s="170" t="str">
        <f t="shared" si="29"/>
        <v>-</v>
      </c>
      <c r="Y98" s="170" t="str">
        <f t="shared" si="29"/>
        <v>-</v>
      </c>
      <c r="Z98" s="170" t="str">
        <f t="shared" si="29"/>
        <v>-</v>
      </c>
      <c r="AA98" s="170" t="str">
        <f t="shared" si="29"/>
        <v>-</v>
      </c>
      <c r="AB98" s="173" t="str">
        <f t="shared" si="29"/>
        <v>-</v>
      </c>
      <c r="AC98" s="170" t="str">
        <f>IF(A98="","",COUNTIF('Vika 36'!$B$5:$V$20,A98)+
COUNTIF('Vika 37'!$B$5:$V$20,A98)+
COUNTIF('Vika 38'!$B$5:$V$20,A98)+
COUNTIF('Vika 39'!$B$5:$V$20,A98)+
COUNTIF('Vika 40'!$B$5:$V$20,A98)+
COUNTIF('Vika 41'!$B$5:$V$20,A98)+
COUNTIF('Vika 42'!$B$5:$V$20,A98)+
COUNTIF('Vika 43'!$B$5:$V$20,A98)+
COUNTIF('Vika 44'!$B$5:$V$20,A98)+
COUNTIF('Vika 45'!$B$5:$V$20,A98)+
COUNTIF('Vika 46'!$B$5:$V$20,A98)+
COUNTIF('Vika 47'!$B$5:$V$20,A98)+
COUNTIF('Vika 48'!$B$5:$V$20,A98)+
COUNTIF('Vika x5'!$B$5:$V$20,A98))</f>
        <v/>
      </c>
    </row>
    <row r="99" spans="1:29" x14ac:dyDescent="0.2">
      <c r="A99" s="155"/>
      <c r="B99" s="172"/>
      <c r="C99" s="170" t="str">
        <f t="shared" si="27"/>
        <v>-</v>
      </c>
      <c r="D99" s="170" t="str">
        <f t="shared" si="27"/>
        <v>-</v>
      </c>
      <c r="E99" s="170" t="str">
        <f t="shared" si="27"/>
        <v>-</v>
      </c>
      <c r="F99" s="173" t="str">
        <f t="shared" si="27"/>
        <v>-</v>
      </c>
      <c r="G99" s="172" t="str">
        <f t="shared" si="27"/>
        <v>-</v>
      </c>
      <c r="H99" s="170" t="str">
        <f t="shared" si="27"/>
        <v>-</v>
      </c>
      <c r="I99" s="170" t="str">
        <f t="shared" si="27"/>
        <v>-</v>
      </c>
      <c r="J99" s="170" t="str">
        <f t="shared" si="27"/>
        <v>-</v>
      </c>
      <c r="K99" s="173" t="str">
        <f t="shared" si="27"/>
        <v>-</v>
      </c>
      <c r="L99" s="172" t="str">
        <f t="shared" si="27"/>
        <v>-</v>
      </c>
      <c r="M99" s="170" t="str">
        <f t="shared" si="28"/>
        <v>-</v>
      </c>
      <c r="N99" s="170" t="str">
        <f t="shared" si="28"/>
        <v>-</v>
      </c>
      <c r="O99" s="170" t="str">
        <f t="shared" si="28"/>
        <v>-</v>
      </c>
      <c r="P99" s="173" t="str">
        <f t="shared" si="28"/>
        <v>-</v>
      </c>
      <c r="Q99" s="172" t="str">
        <f t="shared" si="28"/>
        <v>-</v>
      </c>
      <c r="R99" s="170" t="str">
        <f t="shared" si="28"/>
        <v>-</v>
      </c>
      <c r="S99" s="170" t="str">
        <f t="shared" si="28"/>
        <v>-</v>
      </c>
      <c r="T99" s="170" t="str">
        <f t="shared" si="28"/>
        <v>-</v>
      </c>
      <c r="U99" s="174" t="str">
        <f t="shared" si="28"/>
        <v>-</v>
      </c>
      <c r="V99" s="175" t="str">
        <f t="shared" si="28"/>
        <v>-</v>
      </c>
      <c r="W99" s="170" t="str">
        <f t="shared" si="29"/>
        <v>-</v>
      </c>
      <c r="X99" s="170" t="str">
        <f t="shared" si="29"/>
        <v>-</v>
      </c>
      <c r="Y99" s="170" t="str">
        <f t="shared" si="29"/>
        <v>-</v>
      </c>
      <c r="Z99" s="170" t="str">
        <f t="shared" si="29"/>
        <v>-</v>
      </c>
      <c r="AA99" s="170" t="str">
        <f t="shared" si="29"/>
        <v>-</v>
      </c>
      <c r="AB99" s="173" t="str">
        <f t="shared" si="29"/>
        <v>-</v>
      </c>
      <c r="AC99" s="170" t="str">
        <f>IF(A99="","",COUNTIF('Vika 36'!$B$5:$V$20,A99)+
COUNTIF('Vika 37'!$B$5:$V$20,A99)+
COUNTIF('Vika 38'!$B$5:$V$20,A99)+
COUNTIF('Vika 39'!$B$5:$V$20,A99)+
COUNTIF('Vika 40'!$B$5:$V$20,A99)+
COUNTIF('Vika 41'!$B$5:$V$20,A99)+
COUNTIF('Vika 42'!$B$5:$V$20,A99)+
COUNTIF('Vika 43'!$B$5:$V$20,A99)+
COUNTIF('Vika 44'!$B$5:$V$20,A99)+
COUNTIF('Vika 45'!$B$5:$V$20,A99)+
COUNTIF('Vika 46'!$B$5:$V$20,A99)+
COUNTIF('Vika 47'!$B$5:$V$20,A99)+
COUNTIF('Vika 48'!$B$5:$V$20,A99)+
COUNTIF('Vika x5'!$B$5:$V$20,A99))</f>
        <v/>
      </c>
    </row>
    <row r="100" spans="1:29" x14ac:dyDescent="0.2">
      <c r="A100" s="155"/>
      <c r="B100" s="172"/>
      <c r="C100" s="170" t="str">
        <f t="shared" si="27"/>
        <v>-</v>
      </c>
      <c r="D100" s="170" t="str">
        <f t="shared" si="27"/>
        <v>-</v>
      </c>
      <c r="E100" s="170" t="str">
        <f t="shared" si="27"/>
        <v>-</v>
      </c>
      <c r="F100" s="173" t="str">
        <f t="shared" si="27"/>
        <v>-</v>
      </c>
      <c r="G100" s="172" t="str">
        <f t="shared" si="27"/>
        <v>-</v>
      </c>
      <c r="H100" s="170" t="str">
        <f t="shared" si="27"/>
        <v>-</v>
      </c>
      <c r="I100" s="170" t="str">
        <f t="shared" si="27"/>
        <v>-</v>
      </c>
      <c r="J100" s="170" t="str">
        <f t="shared" si="27"/>
        <v>-</v>
      </c>
      <c r="K100" s="173" t="str">
        <f t="shared" si="27"/>
        <v>-</v>
      </c>
      <c r="L100" s="172" t="str">
        <f t="shared" si="27"/>
        <v>-</v>
      </c>
      <c r="M100" s="170" t="str">
        <f t="shared" si="28"/>
        <v>-</v>
      </c>
      <c r="N100" s="170" t="str">
        <f t="shared" si="28"/>
        <v>-</v>
      </c>
      <c r="O100" s="170" t="str">
        <f t="shared" si="28"/>
        <v>-</v>
      </c>
      <c r="P100" s="173" t="str">
        <f t="shared" si="28"/>
        <v>-</v>
      </c>
      <c r="Q100" s="172" t="str">
        <f t="shared" si="28"/>
        <v>-</v>
      </c>
      <c r="R100" s="170" t="str">
        <f t="shared" si="28"/>
        <v>-</v>
      </c>
      <c r="S100" s="170" t="str">
        <f t="shared" si="28"/>
        <v>-</v>
      </c>
      <c r="T100" s="170" t="str">
        <f t="shared" si="28"/>
        <v>-</v>
      </c>
      <c r="U100" s="174" t="str">
        <f t="shared" si="28"/>
        <v>-</v>
      </c>
      <c r="V100" s="175" t="str">
        <f t="shared" si="28"/>
        <v>-</v>
      </c>
      <c r="W100" s="170" t="str">
        <f t="shared" si="29"/>
        <v>-</v>
      </c>
      <c r="X100" s="170" t="str">
        <f t="shared" si="29"/>
        <v>-</v>
      </c>
      <c r="Y100" s="170" t="str">
        <f t="shared" si="29"/>
        <v>-</v>
      </c>
      <c r="Z100" s="170" t="str">
        <f t="shared" si="29"/>
        <v>-</v>
      </c>
      <c r="AA100" s="170" t="str">
        <f t="shared" si="29"/>
        <v>-</v>
      </c>
      <c r="AB100" s="173" t="str">
        <f t="shared" si="29"/>
        <v>-</v>
      </c>
      <c r="AC100" s="170" t="str">
        <f>IF(A100="","",COUNTIF('Vika 36'!$B$5:$V$20,A100)+
COUNTIF('Vika 37'!$B$5:$V$20,A100)+
COUNTIF('Vika 38'!$B$5:$V$20,A100)+
COUNTIF('Vika 39'!$B$5:$V$20,A100)+
COUNTIF('Vika 40'!$B$5:$V$20,A100)+
COUNTIF('Vika 41'!$B$5:$V$20,A100)+
COUNTIF('Vika 42'!$B$5:$V$20,A100)+
COUNTIF('Vika 43'!$B$5:$V$20,A100)+
COUNTIF('Vika 44'!$B$5:$V$20,A100)+
COUNTIF('Vika 45'!$B$5:$V$20,A100)+
COUNTIF('Vika 46'!$B$5:$V$20,A100)+
COUNTIF('Vika 47'!$B$5:$V$20,A100)+
COUNTIF('Vika 48'!$B$5:$V$20,A100)+
COUNTIF('Vika x5'!$B$5:$V$20,A100))</f>
        <v/>
      </c>
    </row>
    <row r="101" spans="1:29" x14ac:dyDescent="0.2">
      <c r="A101" s="155"/>
      <c r="B101" s="172"/>
      <c r="C101" s="170" t="str">
        <f t="shared" si="27"/>
        <v>-</v>
      </c>
      <c r="D101" s="170" t="str">
        <f t="shared" si="27"/>
        <v>-</v>
      </c>
      <c r="E101" s="170" t="str">
        <f t="shared" si="27"/>
        <v>-</v>
      </c>
      <c r="F101" s="173" t="str">
        <f t="shared" si="27"/>
        <v>-</v>
      </c>
      <c r="G101" s="172" t="str">
        <f t="shared" si="27"/>
        <v>-</v>
      </c>
      <c r="H101" s="170" t="str">
        <f t="shared" si="27"/>
        <v>-</v>
      </c>
      <c r="I101" s="170" t="str">
        <f t="shared" si="27"/>
        <v>-</v>
      </c>
      <c r="J101" s="170" t="str">
        <f t="shared" si="27"/>
        <v>-</v>
      </c>
      <c r="K101" s="173" t="str">
        <f t="shared" si="27"/>
        <v>-</v>
      </c>
      <c r="L101" s="172" t="str">
        <f t="shared" si="27"/>
        <v>-</v>
      </c>
      <c r="M101" s="170" t="str">
        <f t="shared" si="28"/>
        <v>-</v>
      </c>
      <c r="N101" s="170" t="str">
        <f t="shared" si="28"/>
        <v>-</v>
      </c>
      <c r="O101" s="170" t="str">
        <f t="shared" si="28"/>
        <v>-</v>
      </c>
      <c r="P101" s="173" t="str">
        <f t="shared" si="28"/>
        <v>-</v>
      </c>
      <c r="Q101" s="172" t="str">
        <f t="shared" si="28"/>
        <v>-</v>
      </c>
      <c r="R101" s="170" t="str">
        <f t="shared" si="28"/>
        <v>-</v>
      </c>
      <c r="S101" s="170" t="str">
        <f t="shared" si="28"/>
        <v>-</v>
      </c>
      <c r="T101" s="170" t="str">
        <f t="shared" si="28"/>
        <v>-</v>
      </c>
      <c r="U101" s="174" t="str">
        <f t="shared" si="28"/>
        <v>-</v>
      </c>
      <c r="V101" s="175" t="str">
        <f t="shared" si="28"/>
        <v>-</v>
      </c>
      <c r="W101" s="170" t="str">
        <f t="shared" si="29"/>
        <v>-</v>
      </c>
      <c r="X101" s="170" t="str">
        <f t="shared" si="29"/>
        <v>-</v>
      </c>
      <c r="Y101" s="170" t="str">
        <f t="shared" si="29"/>
        <v>-</v>
      </c>
      <c r="Z101" s="170" t="str">
        <f t="shared" si="29"/>
        <v>-</v>
      </c>
      <c r="AA101" s="170" t="str">
        <f t="shared" si="29"/>
        <v>-</v>
      </c>
      <c r="AB101" s="173" t="str">
        <f t="shared" si="29"/>
        <v>-</v>
      </c>
      <c r="AC101" s="170" t="str">
        <f>IF(A101="","",COUNTIF('Vika 36'!$B$5:$V$20,A101)+
COUNTIF('Vika 37'!$B$5:$V$20,A101)+
COUNTIF('Vika 38'!$B$5:$V$20,A101)+
COUNTIF('Vika 39'!$B$5:$V$20,A101)+
COUNTIF('Vika 40'!$B$5:$V$20,A101)+
COUNTIF('Vika 41'!$B$5:$V$20,A101)+
COUNTIF('Vika 42'!$B$5:$V$20,A101)+
COUNTIF('Vika 43'!$B$5:$V$20,A101)+
COUNTIF('Vika 44'!$B$5:$V$20,A101)+
COUNTIF('Vika 45'!$B$5:$V$20,A101)+
COUNTIF('Vika 46'!$B$5:$V$20,A101)+
COUNTIF('Vika 47'!$B$5:$V$20,A101)+
COUNTIF('Vika 48'!$B$5:$V$20,A101)+
COUNTIF('Vika x5'!$B$5:$V$20,A101))</f>
        <v/>
      </c>
    </row>
    <row r="102" spans="1:29" x14ac:dyDescent="0.2">
      <c r="A102" s="155"/>
      <c r="B102" s="172"/>
      <c r="C102" s="170" t="str">
        <f t="shared" si="27"/>
        <v>-</v>
      </c>
      <c r="D102" s="170" t="str">
        <f t="shared" si="27"/>
        <v>-</v>
      </c>
      <c r="E102" s="170" t="str">
        <f t="shared" si="27"/>
        <v>-</v>
      </c>
      <c r="F102" s="173" t="str">
        <f t="shared" si="27"/>
        <v>-</v>
      </c>
      <c r="G102" s="172" t="str">
        <f t="shared" si="27"/>
        <v>-</v>
      </c>
      <c r="H102" s="170" t="str">
        <f t="shared" si="27"/>
        <v>-</v>
      </c>
      <c r="I102" s="170" t="str">
        <f t="shared" si="27"/>
        <v>-</v>
      </c>
      <c r="J102" s="170" t="str">
        <f t="shared" si="27"/>
        <v>-</v>
      </c>
      <c r="K102" s="173" t="str">
        <f t="shared" si="27"/>
        <v>-</v>
      </c>
      <c r="L102" s="172" t="str">
        <f t="shared" si="27"/>
        <v>-</v>
      </c>
      <c r="M102" s="170" t="str">
        <f t="shared" si="28"/>
        <v>-</v>
      </c>
      <c r="N102" s="170" t="str">
        <f t="shared" si="28"/>
        <v>-</v>
      </c>
      <c r="O102" s="170" t="str">
        <f t="shared" si="28"/>
        <v>-</v>
      </c>
      <c r="P102" s="173" t="str">
        <f t="shared" si="28"/>
        <v>-</v>
      </c>
      <c r="Q102" s="172" t="str">
        <f t="shared" si="28"/>
        <v>-</v>
      </c>
      <c r="R102" s="170" t="str">
        <f t="shared" si="28"/>
        <v>-</v>
      </c>
      <c r="S102" s="170" t="str">
        <f t="shared" si="28"/>
        <v>-</v>
      </c>
      <c r="T102" s="170" t="str">
        <f t="shared" si="28"/>
        <v>-</v>
      </c>
      <c r="U102" s="174" t="str">
        <f t="shared" si="28"/>
        <v>-</v>
      </c>
      <c r="V102" s="175" t="str">
        <f t="shared" si="28"/>
        <v>-</v>
      </c>
      <c r="W102" s="170" t="str">
        <f t="shared" si="29"/>
        <v>-</v>
      </c>
      <c r="X102" s="170" t="str">
        <f t="shared" si="29"/>
        <v>-</v>
      </c>
      <c r="Y102" s="170" t="str">
        <f t="shared" si="29"/>
        <v>-</v>
      </c>
      <c r="Z102" s="170" t="str">
        <f t="shared" si="29"/>
        <v>-</v>
      </c>
      <c r="AA102" s="170" t="str">
        <f t="shared" si="29"/>
        <v>-</v>
      </c>
      <c r="AB102" s="173" t="str">
        <f t="shared" si="29"/>
        <v>-</v>
      </c>
      <c r="AC102" s="170" t="str">
        <f>IF(A102="","",COUNTIF('Vika 36'!$B$5:$V$20,A102)+
COUNTIF('Vika 37'!$B$5:$V$20,A102)+
COUNTIF('Vika 38'!$B$5:$V$20,A102)+
COUNTIF('Vika 39'!$B$5:$V$20,A102)+
COUNTIF('Vika 40'!$B$5:$V$20,A102)+
COUNTIF('Vika 41'!$B$5:$V$20,A102)+
COUNTIF('Vika 42'!$B$5:$V$20,A102)+
COUNTIF('Vika 43'!$B$5:$V$20,A102)+
COUNTIF('Vika 44'!$B$5:$V$20,A102)+
COUNTIF('Vika 45'!$B$5:$V$20,A102)+
COUNTIF('Vika 46'!$B$5:$V$20,A102)+
COUNTIF('Vika 47'!$B$5:$V$20,A102)+
COUNTIF('Vika 48'!$B$5:$V$20,A102)+
COUNTIF('Vika x5'!$B$5:$V$20,A102))</f>
        <v/>
      </c>
    </row>
    <row r="103" spans="1:29" x14ac:dyDescent="0.2">
      <c r="A103" s="155"/>
      <c r="B103" s="172"/>
      <c r="C103" s="170" t="str">
        <f t="shared" ref="C103:L116" si="30">IF(OR($B103="-",$B103=""),"-",$B103*C$203)</f>
        <v>-</v>
      </c>
      <c r="D103" s="170" t="str">
        <f t="shared" si="30"/>
        <v>-</v>
      </c>
      <c r="E103" s="170" t="str">
        <f t="shared" si="30"/>
        <v>-</v>
      </c>
      <c r="F103" s="173" t="str">
        <f t="shared" si="30"/>
        <v>-</v>
      </c>
      <c r="G103" s="172" t="str">
        <f t="shared" si="30"/>
        <v>-</v>
      </c>
      <c r="H103" s="170" t="str">
        <f t="shared" si="30"/>
        <v>-</v>
      </c>
      <c r="I103" s="170" t="str">
        <f t="shared" si="30"/>
        <v>-</v>
      </c>
      <c r="J103" s="170" t="str">
        <f t="shared" si="30"/>
        <v>-</v>
      </c>
      <c r="K103" s="173" t="str">
        <f t="shared" si="30"/>
        <v>-</v>
      </c>
      <c r="L103" s="172" t="str">
        <f t="shared" si="30"/>
        <v>-</v>
      </c>
      <c r="M103" s="170" t="str">
        <f t="shared" ref="M103:V116" si="31">IF(OR($B103="-",$B103=""),"-",$B103*M$203)</f>
        <v>-</v>
      </c>
      <c r="N103" s="170" t="str">
        <f t="shared" si="31"/>
        <v>-</v>
      </c>
      <c r="O103" s="170" t="str">
        <f t="shared" si="31"/>
        <v>-</v>
      </c>
      <c r="P103" s="173" t="str">
        <f t="shared" si="31"/>
        <v>-</v>
      </c>
      <c r="Q103" s="172" t="str">
        <f t="shared" si="31"/>
        <v>-</v>
      </c>
      <c r="R103" s="170" t="str">
        <f t="shared" si="31"/>
        <v>-</v>
      </c>
      <c r="S103" s="170" t="str">
        <f t="shared" si="31"/>
        <v>-</v>
      </c>
      <c r="T103" s="170" t="str">
        <f t="shared" si="31"/>
        <v>-</v>
      </c>
      <c r="U103" s="174" t="str">
        <f t="shared" si="31"/>
        <v>-</v>
      </c>
      <c r="V103" s="175" t="str">
        <f t="shared" si="31"/>
        <v>-</v>
      </c>
      <c r="W103" s="170" t="str">
        <f t="shared" ref="W103:AB116" si="32">IF(OR($B103="-",$B103=""),"-",$B103*W$203)</f>
        <v>-</v>
      </c>
      <c r="X103" s="170" t="str">
        <f t="shared" si="32"/>
        <v>-</v>
      </c>
      <c r="Y103" s="170" t="str">
        <f t="shared" si="32"/>
        <v>-</v>
      </c>
      <c r="Z103" s="170" t="str">
        <f t="shared" si="32"/>
        <v>-</v>
      </c>
      <c r="AA103" s="170" t="str">
        <f t="shared" si="32"/>
        <v>-</v>
      </c>
      <c r="AB103" s="173" t="str">
        <f t="shared" si="32"/>
        <v>-</v>
      </c>
      <c r="AC103" s="170" t="str">
        <f>IF(A103="","",COUNTIF('Vika 36'!$B$5:$V$20,A103)+
COUNTIF('Vika 37'!$B$5:$V$20,A103)+
COUNTIF('Vika 38'!$B$5:$V$20,A103)+
COUNTIF('Vika 39'!$B$5:$V$20,A103)+
COUNTIF('Vika 40'!$B$5:$V$20,A103)+
COUNTIF('Vika 41'!$B$5:$V$20,A103)+
COUNTIF('Vika 42'!$B$5:$V$20,A103)+
COUNTIF('Vika 43'!$B$5:$V$20,A103)+
COUNTIF('Vika 44'!$B$5:$V$20,A103)+
COUNTIF('Vika 45'!$B$5:$V$20,A103)+
COUNTIF('Vika 46'!$B$5:$V$20,A103)+
COUNTIF('Vika 47'!$B$5:$V$20,A103)+
COUNTIF('Vika 48'!$B$5:$V$20,A103)+
COUNTIF('Vika x5'!$B$5:$V$20,A103))</f>
        <v/>
      </c>
    </row>
    <row r="104" spans="1:29" x14ac:dyDescent="0.2">
      <c r="A104" s="155"/>
      <c r="B104" s="172"/>
      <c r="C104" s="170" t="str">
        <f t="shared" si="30"/>
        <v>-</v>
      </c>
      <c r="D104" s="170" t="str">
        <f t="shared" si="30"/>
        <v>-</v>
      </c>
      <c r="E104" s="170" t="str">
        <f t="shared" si="30"/>
        <v>-</v>
      </c>
      <c r="F104" s="173" t="str">
        <f t="shared" si="30"/>
        <v>-</v>
      </c>
      <c r="G104" s="172" t="str">
        <f t="shared" si="30"/>
        <v>-</v>
      </c>
      <c r="H104" s="170" t="str">
        <f t="shared" si="30"/>
        <v>-</v>
      </c>
      <c r="I104" s="170" t="str">
        <f t="shared" si="30"/>
        <v>-</v>
      </c>
      <c r="J104" s="170" t="str">
        <f t="shared" si="30"/>
        <v>-</v>
      </c>
      <c r="K104" s="173" t="str">
        <f t="shared" si="30"/>
        <v>-</v>
      </c>
      <c r="L104" s="172" t="str">
        <f t="shared" si="30"/>
        <v>-</v>
      </c>
      <c r="M104" s="170" t="str">
        <f t="shared" si="31"/>
        <v>-</v>
      </c>
      <c r="N104" s="170" t="str">
        <f t="shared" si="31"/>
        <v>-</v>
      </c>
      <c r="O104" s="170" t="str">
        <f t="shared" si="31"/>
        <v>-</v>
      </c>
      <c r="P104" s="173" t="str">
        <f t="shared" si="31"/>
        <v>-</v>
      </c>
      <c r="Q104" s="172" t="str">
        <f t="shared" si="31"/>
        <v>-</v>
      </c>
      <c r="R104" s="170" t="str">
        <f t="shared" si="31"/>
        <v>-</v>
      </c>
      <c r="S104" s="170" t="str">
        <f t="shared" si="31"/>
        <v>-</v>
      </c>
      <c r="T104" s="170" t="str">
        <f t="shared" si="31"/>
        <v>-</v>
      </c>
      <c r="U104" s="174" t="str">
        <f t="shared" si="31"/>
        <v>-</v>
      </c>
      <c r="V104" s="175" t="str">
        <f t="shared" si="31"/>
        <v>-</v>
      </c>
      <c r="W104" s="170" t="str">
        <f t="shared" si="32"/>
        <v>-</v>
      </c>
      <c r="X104" s="170" t="str">
        <f t="shared" si="32"/>
        <v>-</v>
      </c>
      <c r="Y104" s="170" t="str">
        <f t="shared" si="32"/>
        <v>-</v>
      </c>
      <c r="Z104" s="170" t="str">
        <f t="shared" si="32"/>
        <v>-</v>
      </c>
      <c r="AA104" s="170" t="str">
        <f t="shared" si="32"/>
        <v>-</v>
      </c>
      <c r="AB104" s="173" t="str">
        <f t="shared" si="32"/>
        <v>-</v>
      </c>
      <c r="AC104" s="170" t="str">
        <f>IF(A104="","",COUNTIF('Vika 36'!$B$5:$V$20,A104)+
COUNTIF('Vika 37'!$B$5:$V$20,A104)+
COUNTIF('Vika 38'!$B$5:$V$20,A104)+
COUNTIF('Vika 39'!$B$5:$V$20,A104)+
COUNTIF('Vika 40'!$B$5:$V$20,A104)+
COUNTIF('Vika 41'!$B$5:$V$20,A104)+
COUNTIF('Vika 42'!$B$5:$V$20,A104)+
COUNTIF('Vika 43'!$B$5:$V$20,A104)+
COUNTIF('Vika 44'!$B$5:$V$20,A104)+
COUNTIF('Vika 45'!$B$5:$V$20,A104)+
COUNTIF('Vika 46'!$B$5:$V$20,A104)+
COUNTIF('Vika 47'!$B$5:$V$20,A104)+
COUNTIF('Vika 48'!$B$5:$V$20,A104)+
COUNTIF('Vika x5'!$B$5:$V$20,A104))</f>
        <v/>
      </c>
    </row>
    <row r="105" spans="1:29" x14ac:dyDescent="0.2">
      <c r="A105" s="155"/>
      <c r="B105" s="172"/>
      <c r="C105" s="170" t="str">
        <f t="shared" si="30"/>
        <v>-</v>
      </c>
      <c r="D105" s="170" t="str">
        <f t="shared" si="30"/>
        <v>-</v>
      </c>
      <c r="E105" s="170" t="str">
        <f t="shared" si="30"/>
        <v>-</v>
      </c>
      <c r="F105" s="173" t="str">
        <f t="shared" si="30"/>
        <v>-</v>
      </c>
      <c r="G105" s="172" t="str">
        <f t="shared" si="30"/>
        <v>-</v>
      </c>
      <c r="H105" s="170" t="str">
        <f t="shared" si="30"/>
        <v>-</v>
      </c>
      <c r="I105" s="170" t="str">
        <f t="shared" si="30"/>
        <v>-</v>
      </c>
      <c r="J105" s="170" t="str">
        <f t="shared" si="30"/>
        <v>-</v>
      </c>
      <c r="K105" s="173" t="str">
        <f t="shared" si="30"/>
        <v>-</v>
      </c>
      <c r="L105" s="172" t="str">
        <f t="shared" si="30"/>
        <v>-</v>
      </c>
      <c r="M105" s="170" t="str">
        <f t="shared" si="31"/>
        <v>-</v>
      </c>
      <c r="N105" s="170" t="str">
        <f t="shared" si="31"/>
        <v>-</v>
      </c>
      <c r="O105" s="170" t="str">
        <f t="shared" si="31"/>
        <v>-</v>
      </c>
      <c r="P105" s="173" t="str">
        <f t="shared" si="31"/>
        <v>-</v>
      </c>
      <c r="Q105" s="172" t="str">
        <f t="shared" si="31"/>
        <v>-</v>
      </c>
      <c r="R105" s="170" t="str">
        <f t="shared" si="31"/>
        <v>-</v>
      </c>
      <c r="S105" s="170" t="str">
        <f t="shared" si="31"/>
        <v>-</v>
      </c>
      <c r="T105" s="170" t="str">
        <f t="shared" si="31"/>
        <v>-</v>
      </c>
      <c r="U105" s="174" t="str">
        <f t="shared" si="31"/>
        <v>-</v>
      </c>
      <c r="V105" s="175" t="str">
        <f t="shared" si="31"/>
        <v>-</v>
      </c>
      <c r="W105" s="170" t="str">
        <f t="shared" si="32"/>
        <v>-</v>
      </c>
      <c r="X105" s="170" t="str">
        <f t="shared" si="32"/>
        <v>-</v>
      </c>
      <c r="Y105" s="170" t="str">
        <f t="shared" si="32"/>
        <v>-</v>
      </c>
      <c r="Z105" s="170" t="str">
        <f t="shared" si="32"/>
        <v>-</v>
      </c>
      <c r="AA105" s="170" t="str">
        <f t="shared" si="32"/>
        <v>-</v>
      </c>
      <c r="AB105" s="173" t="str">
        <f t="shared" si="32"/>
        <v>-</v>
      </c>
      <c r="AC105" s="170" t="str">
        <f>IF(A105="","",COUNTIF('Vika 36'!$B$5:$V$20,A105)+
COUNTIF('Vika 37'!$B$5:$V$20,A105)+
COUNTIF('Vika 38'!$B$5:$V$20,A105)+
COUNTIF('Vika 39'!$B$5:$V$20,A105)+
COUNTIF('Vika 40'!$B$5:$V$20,A105)+
COUNTIF('Vika 41'!$B$5:$V$20,A105)+
COUNTIF('Vika 42'!$B$5:$V$20,A105)+
COUNTIF('Vika 43'!$B$5:$V$20,A105)+
COUNTIF('Vika 44'!$B$5:$V$20,A105)+
COUNTIF('Vika 45'!$B$5:$V$20,A105)+
COUNTIF('Vika 46'!$B$5:$V$20,A105)+
COUNTIF('Vika 47'!$B$5:$V$20,A105)+
COUNTIF('Vika 48'!$B$5:$V$20,A105)+
COUNTIF('Vika x5'!$B$5:$V$20,A105))</f>
        <v/>
      </c>
    </row>
    <row r="106" spans="1:29" x14ac:dyDescent="0.2">
      <c r="A106" s="155"/>
      <c r="B106" s="172"/>
      <c r="C106" s="170" t="str">
        <f t="shared" si="30"/>
        <v>-</v>
      </c>
      <c r="D106" s="170" t="str">
        <f t="shared" si="30"/>
        <v>-</v>
      </c>
      <c r="E106" s="170" t="str">
        <f t="shared" si="30"/>
        <v>-</v>
      </c>
      <c r="F106" s="173" t="str">
        <f t="shared" si="30"/>
        <v>-</v>
      </c>
      <c r="G106" s="172" t="str">
        <f t="shared" si="30"/>
        <v>-</v>
      </c>
      <c r="H106" s="170" t="str">
        <f t="shared" si="30"/>
        <v>-</v>
      </c>
      <c r="I106" s="170" t="str">
        <f t="shared" si="30"/>
        <v>-</v>
      </c>
      <c r="J106" s="170" t="str">
        <f t="shared" si="30"/>
        <v>-</v>
      </c>
      <c r="K106" s="173" t="str">
        <f t="shared" si="30"/>
        <v>-</v>
      </c>
      <c r="L106" s="172" t="str">
        <f t="shared" si="30"/>
        <v>-</v>
      </c>
      <c r="M106" s="170" t="str">
        <f t="shared" si="31"/>
        <v>-</v>
      </c>
      <c r="N106" s="170" t="str">
        <f t="shared" si="31"/>
        <v>-</v>
      </c>
      <c r="O106" s="170" t="str">
        <f t="shared" si="31"/>
        <v>-</v>
      </c>
      <c r="P106" s="173" t="str">
        <f t="shared" si="31"/>
        <v>-</v>
      </c>
      <c r="Q106" s="172" t="str">
        <f t="shared" si="31"/>
        <v>-</v>
      </c>
      <c r="R106" s="170" t="str">
        <f t="shared" si="31"/>
        <v>-</v>
      </c>
      <c r="S106" s="170" t="str">
        <f t="shared" si="31"/>
        <v>-</v>
      </c>
      <c r="T106" s="170" t="str">
        <f t="shared" si="31"/>
        <v>-</v>
      </c>
      <c r="U106" s="174" t="str">
        <f t="shared" si="31"/>
        <v>-</v>
      </c>
      <c r="V106" s="175" t="str">
        <f t="shared" si="31"/>
        <v>-</v>
      </c>
      <c r="W106" s="170" t="str">
        <f t="shared" si="32"/>
        <v>-</v>
      </c>
      <c r="X106" s="170" t="str">
        <f t="shared" si="32"/>
        <v>-</v>
      </c>
      <c r="Y106" s="170" t="str">
        <f t="shared" si="32"/>
        <v>-</v>
      </c>
      <c r="Z106" s="170" t="str">
        <f t="shared" si="32"/>
        <v>-</v>
      </c>
      <c r="AA106" s="170" t="str">
        <f t="shared" si="32"/>
        <v>-</v>
      </c>
      <c r="AB106" s="173" t="str">
        <f t="shared" si="32"/>
        <v>-</v>
      </c>
      <c r="AC106" s="170" t="str">
        <f>IF(A106="","",COUNTIF('Vika 36'!$B$5:$V$20,A106)+
COUNTIF('Vika 37'!$B$5:$V$20,A106)+
COUNTIF('Vika 38'!$B$5:$V$20,A106)+
COUNTIF('Vika 39'!$B$5:$V$20,A106)+
COUNTIF('Vika 40'!$B$5:$V$20,A106)+
COUNTIF('Vika 41'!$B$5:$V$20,A106)+
COUNTIF('Vika 42'!$B$5:$V$20,A106)+
COUNTIF('Vika 43'!$B$5:$V$20,A106)+
COUNTIF('Vika 44'!$B$5:$V$20,A106)+
COUNTIF('Vika 45'!$B$5:$V$20,A106)+
COUNTIF('Vika 46'!$B$5:$V$20,A106)+
COUNTIF('Vika 47'!$B$5:$V$20,A106)+
COUNTIF('Vika 48'!$B$5:$V$20,A106)+
COUNTIF('Vika x5'!$B$5:$V$20,A106))</f>
        <v/>
      </c>
    </row>
    <row r="107" spans="1:29" x14ac:dyDescent="0.2">
      <c r="A107" s="155"/>
      <c r="B107" s="172"/>
      <c r="C107" s="170" t="str">
        <f t="shared" si="30"/>
        <v>-</v>
      </c>
      <c r="D107" s="170" t="str">
        <f t="shared" si="30"/>
        <v>-</v>
      </c>
      <c r="E107" s="170" t="str">
        <f t="shared" si="30"/>
        <v>-</v>
      </c>
      <c r="F107" s="173" t="str">
        <f t="shared" si="30"/>
        <v>-</v>
      </c>
      <c r="G107" s="172" t="str">
        <f t="shared" si="30"/>
        <v>-</v>
      </c>
      <c r="H107" s="170" t="str">
        <f t="shared" si="30"/>
        <v>-</v>
      </c>
      <c r="I107" s="170" t="str">
        <f t="shared" si="30"/>
        <v>-</v>
      </c>
      <c r="J107" s="170" t="str">
        <f t="shared" si="30"/>
        <v>-</v>
      </c>
      <c r="K107" s="173" t="str">
        <f t="shared" si="30"/>
        <v>-</v>
      </c>
      <c r="L107" s="172" t="str">
        <f t="shared" si="30"/>
        <v>-</v>
      </c>
      <c r="M107" s="170" t="str">
        <f t="shared" si="31"/>
        <v>-</v>
      </c>
      <c r="N107" s="170" t="str">
        <f t="shared" si="31"/>
        <v>-</v>
      </c>
      <c r="O107" s="170" t="str">
        <f t="shared" si="31"/>
        <v>-</v>
      </c>
      <c r="P107" s="173" t="str">
        <f t="shared" si="31"/>
        <v>-</v>
      </c>
      <c r="Q107" s="172" t="str">
        <f t="shared" si="31"/>
        <v>-</v>
      </c>
      <c r="R107" s="170" t="str">
        <f t="shared" si="31"/>
        <v>-</v>
      </c>
      <c r="S107" s="170" t="str">
        <f t="shared" si="31"/>
        <v>-</v>
      </c>
      <c r="T107" s="170" t="str">
        <f t="shared" si="31"/>
        <v>-</v>
      </c>
      <c r="U107" s="174" t="str">
        <f t="shared" si="31"/>
        <v>-</v>
      </c>
      <c r="V107" s="175" t="str">
        <f t="shared" si="31"/>
        <v>-</v>
      </c>
      <c r="W107" s="170" t="str">
        <f t="shared" si="32"/>
        <v>-</v>
      </c>
      <c r="X107" s="170" t="str">
        <f t="shared" si="32"/>
        <v>-</v>
      </c>
      <c r="Y107" s="170" t="str">
        <f t="shared" si="32"/>
        <v>-</v>
      </c>
      <c r="Z107" s="170" t="str">
        <f t="shared" si="32"/>
        <v>-</v>
      </c>
      <c r="AA107" s="170" t="str">
        <f t="shared" si="32"/>
        <v>-</v>
      </c>
      <c r="AB107" s="173" t="str">
        <f t="shared" si="32"/>
        <v>-</v>
      </c>
      <c r="AC107" s="170" t="str">
        <f>IF(A107="","",COUNTIF('Vika 36'!$B$5:$V$20,A107)+
COUNTIF('Vika 37'!$B$5:$V$20,A107)+
COUNTIF('Vika 38'!$B$5:$V$20,A107)+
COUNTIF('Vika 39'!$B$5:$V$20,A107)+
COUNTIF('Vika 40'!$B$5:$V$20,A107)+
COUNTIF('Vika 41'!$B$5:$V$20,A107)+
COUNTIF('Vika 42'!$B$5:$V$20,A107)+
COUNTIF('Vika 43'!$B$5:$V$20,A107)+
COUNTIF('Vika 44'!$B$5:$V$20,A107)+
COUNTIF('Vika 45'!$B$5:$V$20,A107)+
COUNTIF('Vika 46'!$B$5:$V$20,A107)+
COUNTIF('Vika 47'!$B$5:$V$20,A107)+
COUNTIF('Vika 48'!$B$5:$V$20,A107)+
COUNTIF('Vika x5'!$B$5:$V$20,A107))</f>
        <v/>
      </c>
    </row>
    <row r="108" spans="1:29" x14ac:dyDescent="0.2">
      <c r="A108" s="155"/>
      <c r="B108" s="172"/>
      <c r="C108" s="170" t="str">
        <f t="shared" si="30"/>
        <v>-</v>
      </c>
      <c r="D108" s="170" t="str">
        <f t="shared" si="30"/>
        <v>-</v>
      </c>
      <c r="E108" s="170" t="str">
        <f t="shared" si="30"/>
        <v>-</v>
      </c>
      <c r="F108" s="173" t="str">
        <f t="shared" si="30"/>
        <v>-</v>
      </c>
      <c r="G108" s="172" t="str">
        <f t="shared" si="30"/>
        <v>-</v>
      </c>
      <c r="H108" s="170" t="str">
        <f t="shared" si="30"/>
        <v>-</v>
      </c>
      <c r="I108" s="170" t="str">
        <f t="shared" si="30"/>
        <v>-</v>
      </c>
      <c r="J108" s="170" t="str">
        <f t="shared" si="30"/>
        <v>-</v>
      </c>
      <c r="K108" s="173" t="str">
        <f t="shared" si="30"/>
        <v>-</v>
      </c>
      <c r="L108" s="172" t="str">
        <f t="shared" si="30"/>
        <v>-</v>
      </c>
      <c r="M108" s="170" t="str">
        <f t="shared" si="31"/>
        <v>-</v>
      </c>
      <c r="N108" s="170" t="str">
        <f t="shared" si="31"/>
        <v>-</v>
      </c>
      <c r="O108" s="170" t="str">
        <f t="shared" si="31"/>
        <v>-</v>
      </c>
      <c r="P108" s="173" t="str">
        <f t="shared" si="31"/>
        <v>-</v>
      </c>
      <c r="Q108" s="172" t="str">
        <f t="shared" si="31"/>
        <v>-</v>
      </c>
      <c r="R108" s="170" t="str">
        <f t="shared" si="31"/>
        <v>-</v>
      </c>
      <c r="S108" s="170" t="str">
        <f t="shared" si="31"/>
        <v>-</v>
      </c>
      <c r="T108" s="170" t="str">
        <f t="shared" si="31"/>
        <v>-</v>
      </c>
      <c r="U108" s="174" t="str">
        <f t="shared" si="31"/>
        <v>-</v>
      </c>
      <c r="V108" s="175" t="str">
        <f t="shared" si="31"/>
        <v>-</v>
      </c>
      <c r="W108" s="170" t="str">
        <f t="shared" si="32"/>
        <v>-</v>
      </c>
      <c r="X108" s="170" t="str">
        <f t="shared" si="32"/>
        <v>-</v>
      </c>
      <c r="Y108" s="170" t="str">
        <f t="shared" si="32"/>
        <v>-</v>
      </c>
      <c r="Z108" s="170" t="str">
        <f t="shared" si="32"/>
        <v>-</v>
      </c>
      <c r="AA108" s="170" t="str">
        <f t="shared" si="32"/>
        <v>-</v>
      </c>
      <c r="AB108" s="173" t="str">
        <f t="shared" si="32"/>
        <v>-</v>
      </c>
      <c r="AC108" s="170" t="str">
        <f>IF(A108="","",COUNTIF('Vika 36'!$B$5:$V$20,A108)+
COUNTIF('Vika 37'!$B$5:$V$20,A108)+
COUNTIF('Vika 38'!$B$5:$V$20,A108)+
COUNTIF('Vika 39'!$B$5:$V$20,A108)+
COUNTIF('Vika 40'!$B$5:$V$20,A108)+
COUNTIF('Vika 41'!$B$5:$V$20,A108)+
COUNTIF('Vika 42'!$B$5:$V$20,A108)+
COUNTIF('Vika 43'!$B$5:$V$20,A108)+
COUNTIF('Vika 44'!$B$5:$V$20,A108)+
COUNTIF('Vika 45'!$B$5:$V$20,A108)+
COUNTIF('Vika 46'!$B$5:$V$20,A108)+
COUNTIF('Vika 47'!$B$5:$V$20,A108)+
COUNTIF('Vika 48'!$B$5:$V$20,A108)+
COUNTIF('Vika x5'!$B$5:$V$20,A108))</f>
        <v/>
      </c>
    </row>
    <row r="109" spans="1:29" x14ac:dyDescent="0.2">
      <c r="A109" s="155"/>
      <c r="B109" s="172"/>
      <c r="C109" s="170" t="str">
        <f t="shared" si="30"/>
        <v>-</v>
      </c>
      <c r="D109" s="170" t="str">
        <f t="shared" si="30"/>
        <v>-</v>
      </c>
      <c r="E109" s="170" t="str">
        <f t="shared" si="30"/>
        <v>-</v>
      </c>
      <c r="F109" s="173" t="str">
        <f t="shared" si="30"/>
        <v>-</v>
      </c>
      <c r="G109" s="172" t="str">
        <f t="shared" si="30"/>
        <v>-</v>
      </c>
      <c r="H109" s="170" t="str">
        <f t="shared" si="30"/>
        <v>-</v>
      </c>
      <c r="I109" s="170" t="str">
        <f t="shared" si="30"/>
        <v>-</v>
      </c>
      <c r="J109" s="170" t="str">
        <f t="shared" si="30"/>
        <v>-</v>
      </c>
      <c r="K109" s="173" t="str">
        <f t="shared" si="30"/>
        <v>-</v>
      </c>
      <c r="L109" s="172" t="str">
        <f t="shared" si="30"/>
        <v>-</v>
      </c>
      <c r="M109" s="170" t="str">
        <f t="shared" si="31"/>
        <v>-</v>
      </c>
      <c r="N109" s="170" t="str">
        <f t="shared" si="31"/>
        <v>-</v>
      </c>
      <c r="O109" s="170" t="str">
        <f t="shared" si="31"/>
        <v>-</v>
      </c>
      <c r="P109" s="173" t="str">
        <f t="shared" si="31"/>
        <v>-</v>
      </c>
      <c r="Q109" s="172" t="str">
        <f t="shared" si="31"/>
        <v>-</v>
      </c>
      <c r="R109" s="170" t="str">
        <f t="shared" si="31"/>
        <v>-</v>
      </c>
      <c r="S109" s="170" t="str">
        <f t="shared" si="31"/>
        <v>-</v>
      </c>
      <c r="T109" s="170" t="str">
        <f t="shared" si="31"/>
        <v>-</v>
      </c>
      <c r="U109" s="174" t="str">
        <f t="shared" si="31"/>
        <v>-</v>
      </c>
      <c r="V109" s="175" t="str">
        <f t="shared" si="31"/>
        <v>-</v>
      </c>
      <c r="W109" s="170" t="str">
        <f t="shared" si="32"/>
        <v>-</v>
      </c>
      <c r="X109" s="170" t="str">
        <f t="shared" si="32"/>
        <v>-</v>
      </c>
      <c r="Y109" s="170" t="str">
        <f t="shared" si="32"/>
        <v>-</v>
      </c>
      <c r="Z109" s="170" t="str">
        <f t="shared" si="32"/>
        <v>-</v>
      </c>
      <c r="AA109" s="170" t="str">
        <f t="shared" si="32"/>
        <v>-</v>
      </c>
      <c r="AB109" s="173" t="str">
        <f t="shared" si="32"/>
        <v>-</v>
      </c>
      <c r="AC109" s="170" t="str">
        <f>IF(A109="","",COUNTIF('Vika 36'!$B$5:$V$20,A109)+
COUNTIF('Vika 37'!$B$5:$V$20,A109)+
COUNTIF('Vika 38'!$B$5:$V$20,A109)+
COUNTIF('Vika 39'!$B$5:$V$20,A109)+
COUNTIF('Vika 40'!$B$5:$V$20,A109)+
COUNTIF('Vika 41'!$B$5:$V$20,A109)+
COUNTIF('Vika 42'!$B$5:$V$20,A109)+
COUNTIF('Vika 43'!$B$5:$V$20,A109)+
COUNTIF('Vika 44'!$B$5:$V$20,A109)+
COUNTIF('Vika 45'!$B$5:$V$20,A109)+
COUNTIF('Vika 46'!$B$5:$V$20,A109)+
COUNTIF('Vika 47'!$B$5:$V$20,A109)+
COUNTIF('Vika 48'!$B$5:$V$20,A109)+
COUNTIF('Vika x5'!$B$5:$V$20,A109))</f>
        <v/>
      </c>
    </row>
    <row r="110" spans="1:29" x14ac:dyDescent="0.2">
      <c r="A110" s="155"/>
      <c r="B110" s="172"/>
      <c r="C110" s="170" t="str">
        <f t="shared" si="30"/>
        <v>-</v>
      </c>
      <c r="D110" s="170" t="str">
        <f t="shared" si="30"/>
        <v>-</v>
      </c>
      <c r="E110" s="170" t="str">
        <f t="shared" si="30"/>
        <v>-</v>
      </c>
      <c r="F110" s="173" t="str">
        <f t="shared" si="30"/>
        <v>-</v>
      </c>
      <c r="G110" s="172" t="str">
        <f t="shared" si="30"/>
        <v>-</v>
      </c>
      <c r="H110" s="170" t="str">
        <f t="shared" si="30"/>
        <v>-</v>
      </c>
      <c r="I110" s="170" t="str">
        <f t="shared" si="30"/>
        <v>-</v>
      </c>
      <c r="J110" s="170" t="str">
        <f t="shared" si="30"/>
        <v>-</v>
      </c>
      <c r="K110" s="173" t="str">
        <f t="shared" si="30"/>
        <v>-</v>
      </c>
      <c r="L110" s="172" t="str">
        <f t="shared" si="30"/>
        <v>-</v>
      </c>
      <c r="M110" s="170" t="str">
        <f t="shared" si="31"/>
        <v>-</v>
      </c>
      <c r="N110" s="170" t="str">
        <f t="shared" si="31"/>
        <v>-</v>
      </c>
      <c r="O110" s="170" t="str">
        <f t="shared" si="31"/>
        <v>-</v>
      </c>
      <c r="P110" s="173" t="str">
        <f t="shared" si="31"/>
        <v>-</v>
      </c>
      <c r="Q110" s="172" t="str">
        <f t="shared" si="31"/>
        <v>-</v>
      </c>
      <c r="R110" s="170" t="str">
        <f t="shared" si="31"/>
        <v>-</v>
      </c>
      <c r="S110" s="170" t="str">
        <f t="shared" si="31"/>
        <v>-</v>
      </c>
      <c r="T110" s="170" t="str">
        <f t="shared" si="31"/>
        <v>-</v>
      </c>
      <c r="U110" s="174" t="str">
        <f t="shared" si="31"/>
        <v>-</v>
      </c>
      <c r="V110" s="175" t="str">
        <f t="shared" si="31"/>
        <v>-</v>
      </c>
      <c r="W110" s="170" t="str">
        <f t="shared" si="32"/>
        <v>-</v>
      </c>
      <c r="X110" s="170" t="str">
        <f t="shared" si="32"/>
        <v>-</v>
      </c>
      <c r="Y110" s="170" t="str">
        <f t="shared" si="32"/>
        <v>-</v>
      </c>
      <c r="Z110" s="170" t="str">
        <f t="shared" si="32"/>
        <v>-</v>
      </c>
      <c r="AA110" s="170" t="str">
        <f t="shared" si="32"/>
        <v>-</v>
      </c>
      <c r="AB110" s="173" t="str">
        <f t="shared" si="32"/>
        <v>-</v>
      </c>
      <c r="AC110" s="170" t="str">
        <f>IF(A110="","",COUNTIF('Vika 36'!$B$5:$V$20,A110)+
COUNTIF('Vika 37'!$B$5:$V$20,A110)+
COUNTIF('Vika 38'!$B$5:$V$20,A110)+
COUNTIF('Vika 39'!$B$5:$V$20,A110)+
COUNTIF('Vika 40'!$B$5:$V$20,A110)+
COUNTIF('Vika 41'!$B$5:$V$20,A110)+
COUNTIF('Vika 42'!$B$5:$V$20,A110)+
COUNTIF('Vika 43'!$B$5:$V$20,A110)+
COUNTIF('Vika 44'!$B$5:$V$20,A110)+
COUNTIF('Vika 45'!$B$5:$V$20,A110)+
COUNTIF('Vika 46'!$B$5:$V$20,A110)+
COUNTIF('Vika 47'!$B$5:$V$20,A110)+
COUNTIF('Vika 48'!$B$5:$V$20,A110)+
COUNTIF('Vika x5'!$B$5:$V$20,A110))</f>
        <v/>
      </c>
    </row>
    <row r="111" spans="1:29" x14ac:dyDescent="0.2">
      <c r="A111" s="155"/>
      <c r="B111" s="172"/>
      <c r="C111" s="170" t="str">
        <f t="shared" si="30"/>
        <v>-</v>
      </c>
      <c r="D111" s="170" t="str">
        <f t="shared" si="30"/>
        <v>-</v>
      </c>
      <c r="E111" s="170" t="str">
        <f t="shared" si="30"/>
        <v>-</v>
      </c>
      <c r="F111" s="173" t="str">
        <f t="shared" si="30"/>
        <v>-</v>
      </c>
      <c r="G111" s="172" t="str">
        <f t="shared" si="30"/>
        <v>-</v>
      </c>
      <c r="H111" s="170" t="str">
        <f t="shared" si="30"/>
        <v>-</v>
      </c>
      <c r="I111" s="170" t="str">
        <f t="shared" si="30"/>
        <v>-</v>
      </c>
      <c r="J111" s="170" t="str">
        <f t="shared" si="30"/>
        <v>-</v>
      </c>
      <c r="K111" s="173" t="str">
        <f t="shared" si="30"/>
        <v>-</v>
      </c>
      <c r="L111" s="172" t="str">
        <f t="shared" si="30"/>
        <v>-</v>
      </c>
      <c r="M111" s="170" t="str">
        <f t="shared" si="31"/>
        <v>-</v>
      </c>
      <c r="N111" s="170" t="str">
        <f t="shared" si="31"/>
        <v>-</v>
      </c>
      <c r="O111" s="170" t="str">
        <f t="shared" si="31"/>
        <v>-</v>
      </c>
      <c r="P111" s="173" t="str">
        <f t="shared" si="31"/>
        <v>-</v>
      </c>
      <c r="Q111" s="172" t="str">
        <f t="shared" si="31"/>
        <v>-</v>
      </c>
      <c r="R111" s="170" t="str">
        <f t="shared" si="31"/>
        <v>-</v>
      </c>
      <c r="S111" s="170" t="str">
        <f t="shared" si="31"/>
        <v>-</v>
      </c>
      <c r="T111" s="170" t="str">
        <f t="shared" si="31"/>
        <v>-</v>
      </c>
      <c r="U111" s="174" t="str">
        <f t="shared" si="31"/>
        <v>-</v>
      </c>
      <c r="V111" s="175" t="str">
        <f t="shared" si="31"/>
        <v>-</v>
      </c>
      <c r="W111" s="170" t="str">
        <f t="shared" si="32"/>
        <v>-</v>
      </c>
      <c r="X111" s="170" t="str">
        <f t="shared" si="32"/>
        <v>-</v>
      </c>
      <c r="Y111" s="170" t="str">
        <f t="shared" si="32"/>
        <v>-</v>
      </c>
      <c r="Z111" s="170" t="str">
        <f t="shared" si="32"/>
        <v>-</v>
      </c>
      <c r="AA111" s="170" t="str">
        <f t="shared" si="32"/>
        <v>-</v>
      </c>
      <c r="AB111" s="173" t="str">
        <f t="shared" si="32"/>
        <v>-</v>
      </c>
      <c r="AC111" s="170" t="str">
        <f>IF(A111="","",COUNTIF('Vika 36'!$B$5:$V$20,A111)+
COUNTIF('Vika 37'!$B$5:$V$20,A111)+
COUNTIF('Vika 38'!$B$5:$V$20,A111)+
COUNTIF('Vika 39'!$B$5:$V$20,A111)+
COUNTIF('Vika 40'!$B$5:$V$20,A111)+
COUNTIF('Vika 41'!$B$5:$V$20,A111)+
COUNTIF('Vika 42'!$B$5:$V$20,A111)+
COUNTIF('Vika 43'!$B$5:$V$20,A111)+
COUNTIF('Vika 44'!$B$5:$V$20,A111)+
COUNTIF('Vika 45'!$B$5:$V$20,A111)+
COUNTIF('Vika 46'!$B$5:$V$20,A111)+
COUNTIF('Vika 47'!$B$5:$V$20,A111)+
COUNTIF('Vika 48'!$B$5:$V$20,A111)+
COUNTIF('Vika x5'!$B$5:$V$20,A111))</f>
        <v/>
      </c>
    </row>
    <row r="112" spans="1:29" x14ac:dyDescent="0.2">
      <c r="A112" s="155"/>
      <c r="B112" s="172"/>
      <c r="C112" s="170" t="str">
        <f t="shared" si="30"/>
        <v>-</v>
      </c>
      <c r="D112" s="170" t="str">
        <f t="shared" si="30"/>
        <v>-</v>
      </c>
      <c r="E112" s="170" t="str">
        <f t="shared" si="30"/>
        <v>-</v>
      </c>
      <c r="F112" s="173" t="str">
        <f t="shared" si="30"/>
        <v>-</v>
      </c>
      <c r="G112" s="172" t="str">
        <f t="shared" si="30"/>
        <v>-</v>
      </c>
      <c r="H112" s="170" t="str">
        <f t="shared" si="30"/>
        <v>-</v>
      </c>
      <c r="I112" s="170" t="str">
        <f t="shared" si="30"/>
        <v>-</v>
      </c>
      <c r="J112" s="170" t="str">
        <f t="shared" si="30"/>
        <v>-</v>
      </c>
      <c r="K112" s="173" t="str">
        <f t="shared" si="30"/>
        <v>-</v>
      </c>
      <c r="L112" s="172" t="str">
        <f t="shared" si="30"/>
        <v>-</v>
      </c>
      <c r="M112" s="170" t="str">
        <f t="shared" si="31"/>
        <v>-</v>
      </c>
      <c r="N112" s="170" t="str">
        <f t="shared" si="31"/>
        <v>-</v>
      </c>
      <c r="O112" s="170" t="str">
        <f t="shared" si="31"/>
        <v>-</v>
      </c>
      <c r="P112" s="173" t="str">
        <f t="shared" si="31"/>
        <v>-</v>
      </c>
      <c r="Q112" s="172" t="str">
        <f t="shared" si="31"/>
        <v>-</v>
      </c>
      <c r="R112" s="170" t="str">
        <f t="shared" si="31"/>
        <v>-</v>
      </c>
      <c r="S112" s="170" t="str">
        <f t="shared" si="31"/>
        <v>-</v>
      </c>
      <c r="T112" s="170" t="str">
        <f t="shared" si="31"/>
        <v>-</v>
      </c>
      <c r="U112" s="174" t="str">
        <f t="shared" si="31"/>
        <v>-</v>
      </c>
      <c r="V112" s="175" t="str">
        <f t="shared" si="31"/>
        <v>-</v>
      </c>
      <c r="W112" s="170" t="str">
        <f t="shared" si="32"/>
        <v>-</v>
      </c>
      <c r="X112" s="170" t="str">
        <f t="shared" si="32"/>
        <v>-</v>
      </c>
      <c r="Y112" s="170" t="str">
        <f t="shared" si="32"/>
        <v>-</v>
      </c>
      <c r="Z112" s="170" t="str">
        <f t="shared" si="32"/>
        <v>-</v>
      </c>
      <c r="AA112" s="170" t="str">
        <f t="shared" si="32"/>
        <v>-</v>
      </c>
      <c r="AB112" s="173" t="str">
        <f t="shared" si="32"/>
        <v>-</v>
      </c>
      <c r="AC112" s="170" t="str">
        <f>IF(A112="","",COUNTIF('Vika 36'!$B$5:$V$20,A112)+
COUNTIF('Vika 37'!$B$5:$V$20,A112)+
COUNTIF('Vika 38'!$B$5:$V$20,A112)+
COUNTIF('Vika 39'!$B$5:$V$20,A112)+
COUNTIF('Vika 40'!$B$5:$V$20,A112)+
COUNTIF('Vika 41'!$B$5:$V$20,A112)+
COUNTIF('Vika 42'!$B$5:$V$20,A112)+
COUNTIF('Vika 43'!$B$5:$V$20,A112)+
COUNTIF('Vika 44'!$B$5:$V$20,A112)+
COUNTIF('Vika 45'!$B$5:$V$20,A112)+
COUNTIF('Vika 46'!$B$5:$V$20,A112)+
COUNTIF('Vika 47'!$B$5:$V$20,A112)+
COUNTIF('Vika 48'!$B$5:$V$20,A112)+
COUNTIF('Vika x5'!$B$5:$V$20,A112))</f>
        <v/>
      </c>
    </row>
    <row r="113" spans="1:30" x14ac:dyDescent="0.2">
      <c r="A113" s="155"/>
      <c r="B113" s="172"/>
      <c r="C113" s="170" t="str">
        <f t="shared" si="30"/>
        <v>-</v>
      </c>
      <c r="D113" s="170" t="str">
        <f t="shared" si="30"/>
        <v>-</v>
      </c>
      <c r="E113" s="170" t="str">
        <f t="shared" si="30"/>
        <v>-</v>
      </c>
      <c r="F113" s="173" t="str">
        <f t="shared" si="30"/>
        <v>-</v>
      </c>
      <c r="G113" s="172" t="str">
        <f t="shared" si="30"/>
        <v>-</v>
      </c>
      <c r="H113" s="170" t="str">
        <f t="shared" si="30"/>
        <v>-</v>
      </c>
      <c r="I113" s="170" t="str">
        <f t="shared" si="30"/>
        <v>-</v>
      </c>
      <c r="J113" s="170" t="str">
        <f t="shared" si="30"/>
        <v>-</v>
      </c>
      <c r="K113" s="173" t="str">
        <f t="shared" si="30"/>
        <v>-</v>
      </c>
      <c r="L113" s="172" t="str">
        <f t="shared" si="30"/>
        <v>-</v>
      </c>
      <c r="M113" s="170" t="str">
        <f t="shared" si="31"/>
        <v>-</v>
      </c>
      <c r="N113" s="170" t="str">
        <f t="shared" si="31"/>
        <v>-</v>
      </c>
      <c r="O113" s="170" t="str">
        <f t="shared" si="31"/>
        <v>-</v>
      </c>
      <c r="P113" s="173" t="str">
        <f t="shared" si="31"/>
        <v>-</v>
      </c>
      <c r="Q113" s="172" t="str">
        <f t="shared" si="31"/>
        <v>-</v>
      </c>
      <c r="R113" s="170" t="str">
        <f t="shared" si="31"/>
        <v>-</v>
      </c>
      <c r="S113" s="170" t="str">
        <f t="shared" si="31"/>
        <v>-</v>
      </c>
      <c r="T113" s="170" t="str">
        <f t="shared" si="31"/>
        <v>-</v>
      </c>
      <c r="U113" s="174" t="str">
        <f t="shared" si="31"/>
        <v>-</v>
      </c>
      <c r="V113" s="175" t="str">
        <f t="shared" si="31"/>
        <v>-</v>
      </c>
      <c r="W113" s="170" t="str">
        <f t="shared" si="32"/>
        <v>-</v>
      </c>
      <c r="X113" s="170" t="str">
        <f t="shared" si="32"/>
        <v>-</v>
      </c>
      <c r="Y113" s="170" t="str">
        <f t="shared" si="32"/>
        <v>-</v>
      </c>
      <c r="Z113" s="170" t="str">
        <f t="shared" si="32"/>
        <v>-</v>
      </c>
      <c r="AA113" s="170" t="str">
        <f t="shared" si="32"/>
        <v>-</v>
      </c>
      <c r="AB113" s="173" t="str">
        <f t="shared" si="32"/>
        <v>-</v>
      </c>
      <c r="AC113" s="170" t="str">
        <f>IF(A113="","",COUNTIF('Vika 36'!$B$5:$V$20,A113)+
COUNTIF('Vika 37'!$B$5:$V$20,A113)+
COUNTIF('Vika 38'!$B$5:$V$20,A113)+
COUNTIF('Vika 39'!$B$5:$V$20,A113)+
COUNTIF('Vika 40'!$B$5:$V$20,A113)+
COUNTIF('Vika 41'!$B$5:$V$20,A113)+
COUNTIF('Vika 42'!$B$5:$V$20,A113)+
COUNTIF('Vika 43'!$B$5:$V$20,A113)+
COUNTIF('Vika 44'!$B$5:$V$20,A113)+
COUNTIF('Vika 45'!$B$5:$V$20,A113)+
COUNTIF('Vika 46'!$B$5:$V$20,A113)+
COUNTIF('Vika 47'!$B$5:$V$20,A113)+
COUNTIF('Vika 48'!$B$5:$V$20,A113)+
COUNTIF('Vika x5'!$B$5:$V$20,A113))</f>
        <v/>
      </c>
      <c r="AD113" s="157"/>
    </row>
    <row r="114" spans="1:30" x14ac:dyDescent="0.2">
      <c r="A114" s="155"/>
      <c r="B114" s="172"/>
      <c r="C114" s="170" t="str">
        <f t="shared" si="30"/>
        <v>-</v>
      </c>
      <c r="D114" s="170" t="str">
        <f t="shared" si="30"/>
        <v>-</v>
      </c>
      <c r="E114" s="170" t="str">
        <f t="shared" si="30"/>
        <v>-</v>
      </c>
      <c r="F114" s="173" t="str">
        <f t="shared" si="30"/>
        <v>-</v>
      </c>
      <c r="G114" s="172" t="str">
        <f t="shared" si="30"/>
        <v>-</v>
      </c>
      <c r="H114" s="170" t="str">
        <f t="shared" si="30"/>
        <v>-</v>
      </c>
      <c r="I114" s="170" t="str">
        <f t="shared" si="30"/>
        <v>-</v>
      </c>
      <c r="J114" s="170" t="str">
        <f t="shared" si="30"/>
        <v>-</v>
      </c>
      <c r="K114" s="173" t="str">
        <f t="shared" si="30"/>
        <v>-</v>
      </c>
      <c r="L114" s="172" t="str">
        <f t="shared" si="30"/>
        <v>-</v>
      </c>
      <c r="M114" s="170" t="str">
        <f t="shared" si="31"/>
        <v>-</v>
      </c>
      <c r="N114" s="170" t="str">
        <f t="shared" si="31"/>
        <v>-</v>
      </c>
      <c r="O114" s="170" t="str">
        <f t="shared" si="31"/>
        <v>-</v>
      </c>
      <c r="P114" s="173" t="str">
        <f t="shared" si="31"/>
        <v>-</v>
      </c>
      <c r="Q114" s="172" t="str">
        <f t="shared" si="31"/>
        <v>-</v>
      </c>
      <c r="R114" s="170" t="str">
        <f t="shared" si="31"/>
        <v>-</v>
      </c>
      <c r="S114" s="170" t="str">
        <f t="shared" si="31"/>
        <v>-</v>
      </c>
      <c r="T114" s="170" t="str">
        <f t="shared" si="31"/>
        <v>-</v>
      </c>
      <c r="U114" s="174" t="str">
        <f t="shared" si="31"/>
        <v>-</v>
      </c>
      <c r="V114" s="175" t="str">
        <f t="shared" si="31"/>
        <v>-</v>
      </c>
      <c r="W114" s="170" t="str">
        <f t="shared" si="32"/>
        <v>-</v>
      </c>
      <c r="X114" s="170" t="str">
        <f t="shared" si="32"/>
        <v>-</v>
      </c>
      <c r="Y114" s="170" t="str">
        <f t="shared" si="32"/>
        <v>-</v>
      </c>
      <c r="Z114" s="170" t="str">
        <f t="shared" si="32"/>
        <v>-</v>
      </c>
      <c r="AA114" s="170" t="str">
        <f t="shared" si="32"/>
        <v>-</v>
      </c>
      <c r="AB114" s="173" t="str">
        <f t="shared" si="32"/>
        <v>-</v>
      </c>
      <c r="AC114" s="170" t="str">
        <f>IF(A114="","",COUNTIF('Vika 36'!$B$5:$V$20,A114)+
COUNTIF('Vika 37'!$B$5:$V$20,A114)+
COUNTIF('Vika 38'!$B$5:$V$20,A114)+
COUNTIF('Vika 39'!$B$5:$V$20,A114)+
COUNTIF('Vika 40'!$B$5:$V$20,A114)+
COUNTIF('Vika 41'!$B$5:$V$20,A114)+
COUNTIF('Vika 42'!$B$5:$V$20,A114)+
COUNTIF('Vika 43'!$B$5:$V$20,A114)+
COUNTIF('Vika 44'!$B$5:$V$20,A114)+
COUNTIF('Vika 45'!$B$5:$V$20,A114)+
COUNTIF('Vika 46'!$B$5:$V$20,A114)+
COUNTIF('Vika 47'!$B$5:$V$20,A114)+
COUNTIF('Vika 48'!$B$5:$V$20,A114)+
COUNTIF('Vika x5'!$B$5:$V$20,A114))</f>
        <v/>
      </c>
    </row>
    <row r="115" spans="1:30" x14ac:dyDescent="0.2">
      <c r="A115" s="155"/>
      <c r="B115" s="172"/>
      <c r="C115" s="170" t="str">
        <f t="shared" si="30"/>
        <v>-</v>
      </c>
      <c r="D115" s="170" t="str">
        <f t="shared" si="30"/>
        <v>-</v>
      </c>
      <c r="E115" s="170" t="str">
        <f t="shared" si="30"/>
        <v>-</v>
      </c>
      <c r="F115" s="173" t="str">
        <f t="shared" si="30"/>
        <v>-</v>
      </c>
      <c r="G115" s="172" t="str">
        <f t="shared" si="30"/>
        <v>-</v>
      </c>
      <c r="H115" s="170" t="str">
        <f t="shared" si="30"/>
        <v>-</v>
      </c>
      <c r="I115" s="170" t="str">
        <f t="shared" si="30"/>
        <v>-</v>
      </c>
      <c r="J115" s="170" t="str">
        <f t="shared" si="30"/>
        <v>-</v>
      </c>
      <c r="K115" s="173" t="str">
        <f t="shared" si="30"/>
        <v>-</v>
      </c>
      <c r="L115" s="172" t="str">
        <f t="shared" si="30"/>
        <v>-</v>
      </c>
      <c r="M115" s="170" t="str">
        <f t="shared" si="31"/>
        <v>-</v>
      </c>
      <c r="N115" s="170" t="str">
        <f t="shared" si="31"/>
        <v>-</v>
      </c>
      <c r="O115" s="170" t="str">
        <f t="shared" si="31"/>
        <v>-</v>
      </c>
      <c r="P115" s="173" t="str">
        <f t="shared" si="31"/>
        <v>-</v>
      </c>
      <c r="Q115" s="172" t="str">
        <f t="shared" si="31"/>
        <v>-</v>
      </c>
      <c r="R115" s="170" t="str">
        <f t="shared" si="31"/>
        <v>-</v>
      </c>
      <c r="S115" s="170" t="str">
        <f t="shared" si="31"/>
        <v>-</v>
      </c>
      <c r="T115" s="170" t="str">
        <f t="shared" si="31"/>
        <v>-</v>
      </c>
      <c r="U115" s="174" t="str">
        <f t="shared" si="31"/>
        <v>-</v>
      </c>
      <c r="V115" s="175" t="str">
        <f t="shared" si="31"/>
        <v>-</v>
      </c>
      <c r="W115" s="170" t="str">
        <f t="shared" si="32"/>
        <v>-</v>
      </c>
      <c r="X115" s="170" t="str">
        <f t="shared" si="32"/>
        <v>-</v>
      </c>
      <c r="Y115" s="170" t="str">
        <f t="shared" si="32"/>
        <v>-</v>
      </c>
      <c r="Z115" s="170" t="str">
        <f t="shared" si="32"/>
        <v>-</v>
      </c>
      <c r="AA115" s="170" t="str">
        <f t="shared" si="32"/>
        <v>-</v>
      </c>
      <c r="AB115" s="173" t="str">
        <f t="shared" si="32"/>
        <v>-</v>
      </c>
      <c r="AC115" s="170" t="str">
        <f>IF(A115="","",COUNTIF('Vika 36'!$B$5:$V$20,A115)+
COUNTIF('Vika 37'!$B$5:$V$20,A115)+
COUNTIF('Vika 38'!$B$5:$V$20,A115)+
COUNTIF('Vika 39'!$B$5:$V$20,A115)+
COUNTIF('Vika 40'!$B$5:$V$20,A115)+
COUNTIF('Vika 41'!$B$5:$V$20,A115)+
COUNTIF('Vika 42'!$B$5:$V$20,A115)+
COUNTIF('Vika 43'!$B$5:$V$20,A115)+
COUNTIF('Vika 44'!$B$5:$V$20,A115)+
COUNTIF('Vika 45'!$B$5:$V$20,A115)+
COUNTIF('Vika 46'!$B$5:$V$20,A115)+
COUNTIF('Vika 47'!$B$5:$V$20,A115)+
COUNTIF('Vika 48'!$B$5:$V$20,A115)+
COUNTIF('Vika x5'!$B$5:$V$20,A115))</f>
        <v/>
      </c>
    </row>
    <row r="116" spans="1:30" x14ac:dyDescent="0.2">
      <c r="A116" s="155"/>
      <c r="B116" s="172"/>
      <c r="C116" s="170" t="str">
        <f t="shared" si="30"/>
        <v>-</v>
      </c>
      <c r="D116" s="170" t="str">
        <f t="shared" si="30"/>
        <v>-</v>
      </c>
      <c r="E116" s="170" t="str">
        <f t="shared" si="30"/>
        <v>-</v>
      </c>
      <c r="F116" s="173" t="str">
        <f t="shared" si="30"/>
        <v>-</v>
      </c>
      <c r="G116" s="172" t="str">
        <f t="shared" si="30"/>
        <v>-</v>
      </c>
      <c r="H116" s="170" t="str">
        <f t="shared" si="30"/>
        <v>-</v>
      </c>
      <c r="I116" s="170" t="str">
        <f t="shared" si="30"/>
        <v>-</v>
      </c>
      <c r="J116" s="170" t="str">
        <f t="shared" si="30"/>
        <v>-</v>
      </c>
      <c r="K116" s="173" t="str">
        <f t="shared" si="30"/>
        <v>-</v>
      </c>
      <c r="L116" s="172" t="str">
        <f t="shared" si="30"/>
        <v>-</v>
      </c>
      <c r="M116" s="170" t="str">
        <f t="shared" si="31"/>
        <v>-</v>
      </c>
      <c r="N116" s="170" t="str">
        <f t="shared" si="31"/>
        <v>-</v>
      </c>
      <c r="O116" s="170" t="str">
        <f t="shared" si="31"/>
        <v>-</v>
      </c>
      <c r="P116" s="173" t="str">
        <f t="shared" si="31"/>
        <v>-</v>
      </c>
      <c r="Q116" s="172" t="str">
        <f t="shared" si="31"/>
        <v>-</v>
      </c>
      <c r="R116" s="170" t="str">
        <f t="shared" si="31"/>
        <v>-</v>
      </c>
      <c r="S116" s="170" t="str">
        <f t="shared" si="31"/>
        <v>-</v>
      </c>
      <c r="T116" s="170" t="str">
        <f t="shared" si="31"/>
        <v>-</v>
      </c>
      <c r="U116" s="174" t="str">
        <f t="shared" si="31"/>
        <v>-</v>
      </c>
      <c r="V116" s="175" t="str">
        <f t="shared" si="31"/>
        <v>-</v>
      </c>
      <c r="W116" s="170" t="str">
        <f t="shared" si="32"/>
        <v>-</v>
      </c>
      <c r="X116" s="170" t="str">
        <f t="shared" si="32"/>
        <v>-</v>
      </c>
      <c r="Y116" s="170" t="str">
        <f t="shared" si="32"/>
        <v>-</v>
      </c>
      <c r="Z116" s="170" t="str">
        <f t="shared" si="32"/>
        <v>-</v>
      </c>
      <c r="AA116" s="170" t="str">
        <f t="shared" si="32"/>
        <v>-</v>
      </c>
      <c r="AB116" s="173" t="str">
        <f t="shared" si="32"/>
        <v>-</v>
      </c>
      <c r="AC116" s="170" t="str">
        <f>IF(A116="","",COUNTIF('Vika 36'!$B$5:$V$20,A116)+
COUNTIF('Vika 37'!$B$5:$V$20,A116)+
COUNTIF('Vika 38'!$B$5:$V$20,A116)+
COUNTIF('Vika 39'!$B$5:$V$20,A116)+
COUNTIF('Vika 40'!$B$5:$V$20,A116)+
COUNTIF('Vika 41'!$B$5:$V$20,A116)+
COUNTIF('Vika 42'!$B$5:$V$20,A116)+
COUNTIF('Vika 43'!$B$5:$V$20,A116)+
COUNTIF('Vika 44'!$B$5:$V$20,A116)+
COUNTIF('Vika 45'!$B$5:$V$20,A116)+
COUNTIF('Vika 46'!$B$5:$V$20,A116)+
COUNTIF('Vika 47'!$B$5:$V$20,A116)+
COUNTIF('Vika 48'!$B$5:$V$20,A116)+
COUNTIF('Vika x5'!$B$5:$V$20,A116))</f>
        <v/>
      </c>
    </row>
    <row r="117" spans="1:30" x14ac:dyDescent="0.2">
      <c r="A117" s="155"/>
      <c r="B117" s="172"/>
      <c r="C117" s="170" t="str">
        <f t="shared" ref="C117:R125" si="33">IF(OR($B117="-",$B117=""),"-",$B117*C$203)</f>
        <v>-</v>
      </c>
      <c r="D117" s="170" t="str">
        <f t="shared" si="33"/>
        <v>-</v>
      </c>
      <c r="E117" s="170" t="str">
        <f t="shared" si="33"/>
        <v>-</v>
      </c>
      <c r="F117" s="173" t="str">
        <f t="shared" si="33"/>
        <v>-</v>
      </c>
      <c r="G117" s="172" t="str">
        <f t="shared" si="33"/>
        <v>-</v>
      </c>
      <c r="H117" s="170" t="str">
        <f t="shared" si="33"/>
        <v>-</v>
      </c>
      <c r="I117" s="170" t="str">
        <f t="shared" si="33"/>
        <v>-</v>
      </c>
      <c r="J117" s="170" t="str">
        <f t="shared" si="33"/>
        <v>-</v>
      </c>
      <c r="K117" s="173" t="str">
        <f t="shared" si="33"/>
        <v>-</v>
      </c>
      <c r="L117" s="172" t="str">
        <f t="shared" si="33"/>
        <v>-</v>
      </c>
      <c r="M117" s="170" t="str">
        <f t="shared" si="33"/>
        <v>-</v>
      </c>
      <c r="N117" s="170" t="str">
        <f t="shared" si="33"/>
        <v>-</v>
      </c>
      <c r="O117" s="170" t="str">
        <f t="shared" si="33"/>
        <v>-</v>
      </c>
      <c r="P117" s="173" t="str">
        <f t="shared" si="33"/>
        <v>-</v>
      </c>
      <c r="Q117" s="172" t="str">
        <f t="shared" si="33"/>
        <v>-</v>
      </c>
      <c r="R117" s="170" t="str">
        <f t="shared" si="33"/>
        <v>-</v>
      </c>
      <c r="S117" s="170" t="str">
        <f t="shared" ref="S117:AB125" si="34">IF(OR($B117="-",$B117=""),"-",$B117*S$203)</f>
        <v>-</v>
      </c>
      <c r="T117" s="170" t="str">
        <f t="shared" si="34"/>
        <v>-</v>
      </c>
      <c r="U117" s="174" t="str">
        <f t="shared" si="34"/>
        <v>-</v>
      </c>
      <c r="V117" s="175" t="str">
        <f t="shared" si="34"/>
        <v>-</v>
      </c>
      <c r="W117" s="170" t="str">
        <f t="shared" si="34"/>
        <v>-</v>
      </c>
      <c r="X117" s="170" t="str">
        <f t="shared" si="34"/>
        <v>-</v>
      </c>
      <c r="Y117" s="170" t="str">
        <f t="shared" si="34"/>
        <v>-</v>
      </c>
      <c r="Z117" s="170" t="str">
        <f t="shared" si="34"/>
        <v>-</v>
      </c>
      <c r="AA117" s="170" t="str">
        <f t="shared" si="34"/>
        <v>-</v>
      </c>
      <c r="AB117" s="173" t="str">
        <f t="shared" si="34"/>
        <v>-</v>
      </c>
      <c r="AC117" s="170" t="str">
        <f>IF(A117="","",COUNTIF('Vika 36'!$B$5:$V$20,A117)+
COUNTIF('Vika 37'!$B$5:$V$20,A117)+
COUNTIF('Vika 38'!$B$5:$V$20,A117)+
COUNTIF('Vika 39'!$B$5:$V$20,A117)+
COUNTIF('Vika 40'!$B$5:$V$20,A117)+
COUNTIF('Vika 41'!$B$5:$V$20,A117)+
COUNTIF('Vika 42'!$B$5:$V$20,A117)+
COUNTIF('Vika 43'!$B$5:$V$20,A117)+
COUNTIF('Vika 44'!$B$5:$V$20,A117)+
COUNTIF('Vika 45'!$B$5:$V$20,A117)+
COUNTIF('Vika 46'!$B$5:$V$20,A117)+
COUNTIF('Vika 47'!$B$5:$V$20,A117)+
COUNTIF('Vika 48'!$B$5:$V$20,A117)+
COUNTIF('Vika x5'!$B$5:$V$20,A117))</f>
        <v/>
      </c>
    </row>
    <row r="118" spans="1:30" x14ac:dyDescent="0.2">
      <c r="A118" s="155"/>
      <c r="B118" s="172"/>
      <c r="C118" s="170" t="str">
        <f t="shared" si="33"/>
        <v>-</v>
      </c>
      <c r="D118" s="170" t="str">
        <f t="shared" si="33"/>
        <v>-</v>
      </c>
      <c r="E118" s="170" t="str">
        <f t="shared" si="33"/>
        <v>-</v>
      </c>
      <c r="F118" s="173" t="str">
        <f t="shared" si="33"/>
        <v>-</v>
      </c>
      <c r="G118" s="172" t="str">
        <f t="shared" si="33"/>
        <v>-</v>
      </c>
      <c r="H118" s="170" t="str">
        <f t="shared" si="33"/>
        <v>-</v>
      </c>
      <c r="I118" s="170" t="str">
        <f t="shared" si="33"/>
        <v>-</v>
      </c>
      <c r="J118" s="170" t="str">
        <f t="shared" si="33"/>
        <v>-</v>
      </c>
      <c r="K118" s="173" t="str">
        <f t="shared" si="33"/>
        <v>-</v>
      </c>
      <c r="L118" s="172" t="str">
        <f t="shared" si="33"/>
        <v>-</v>
      </c>
      <c r="M118" s="170" t="str">
        <f t="shared" si="33"/>
        <v>-</v>
      </c>
      <c r="N118" s="170" t="str">
        <f t="shared" si="33"/>
        <v>-</v>
      </c>
      <c r="O118" s="170" t="str">
        <f t="shared" si="33"/>
        <v>-</v>
      </c>
      <c r="P118" s="173" t="str">
        <f t="shared" si="33"/>
        <v>-</v>
      </c>
      <c r="Q118" s="172" t="str">
        <f t="shared" si="33"/>
        <v>-</v>
      </c>
      <c r="R118" s="170" t="str">
        <f t="shared" si="33"/>
        <v>-</v>
      </c>
      <c r="S118" s="170" t="str">
        <f t="shared" si="34"/>
        <v>-</v>
      </c>
      <c r="T118" s="170" t="str">
        <f t="shared" si="34"/>
        <v>-</v>
      </c>
      <c r="U118" s="174" t="str">
        <f t="shared" si="34"/>
        <v>-</v>
      </c>
      <c r="V118" s="175" t="str">
        <f t="shared" si="34"/>
        <v>-</v>
      </c>
      <c r="W118" s="170" t="str">
        <f t="shared" si="34"/>
        <v>-</v>
      </c>
      <c r="X118" s="170" t="str">
        <f t="shared" si="34"/>
        <v>-</v>
      </c>
      <c r="Y118" s="170" t="str">
        <f t="shared" si="34"/>
        <v>-</v>
      </c>
      <c r="Z118" s="170" t="str">
        <f t="shared" si="34"/>
        <v>-</v>
      </c>
      <c r="AA118" s="170" t="str">
        <f t="shared" si="34"/>
        <v>-</v>
      </c>
      <c r="AB118" s="173" t="str">
        <f t="shared" si="34"/>
        <v>-</v>
      </c>
      <c r="AC118" s="170" t="str">
        <f>IF(A118="","",COUNTIF('Vika 36'!$B$5:$V$20,A118)+
COUNTIF('Vika 37'!$B$5:$V$20,A118)+
COUNTIF('Vika 38'!$B$5:$V$20,A118)+
COUNTIF('Vika 39'!$B$5:$V$20,A118)+
COUNTIF('Vika 40'!$B$5:$V$20,A118)+
COUNTIF('Vika 41'!$B$5:$V$20,A118)+
COUNTIF('Vika 42'!$B$5:$V$20,A118)+
COUNTIF('Vika 43'!$B$5:$V$20,A118)+
COUNTIF('Vika 44'!$B$5:$V$20,A118)+
COUNTIF('Vika 45'!$B$5:$V$20,A118)+
COUNTIF('Vika 46'!$B$5:$V$20,A118)+
COUNTIF('Vika 47'!$B$5:$V$20,A118)+
COUNTIF('Vika 48'!$B$5:$V$20,A118)+
COUNTIF('Vika x5'!$B$5:$V$20,A118))</f>
        <v/>
      </c>
    </row>
    <row r="119" spans="1:30" x14ac:dyDescent="0.2">
      <c r="A119" s="155"/>
      <c r="B119" s="172"/>
      <c r="C119" s="170" t="str">
        <f t="shared" si="33"/>
        <v>-</v>
      </c>
      <c r="D119" s="170" t="str">
        <f t="shared" si="33"/>
        <v>-</v>
      </c>
      <c r="E119" s="170" t="str">
        <f t="shared" si="33"/>
        <v>-</v>
      </c>
      <c r="F119" s="173" t="str">
        <f t="shared" si="33"/>
        <v>-</v>
      </c>
      <c r="G119" s="172" t="str">
        <f t="shared" si="33"/>
        <v>-</v>
      </c>
      <c r="H119" s="170" t="str">
        <f t="shared" si="33"/>
        <v>-</v>
      </c>
      <c r="I119" s="170" t="str">
        <f t="shared" si="33"/>
        <v>-</v>
      </c>
      <c r="J119" s="170" t="str">
        <f t="shared" si="33"/>
        <v>-</v>
      </c>
      <c r="K119" s="173" t="str">
        <f t="shared" si="33"/>
        <v>-</v>
      </c>
      <c r="L119" s="172" t="str">
        <f t="shared" si="33"/>
        <v>-</v>
      </c>
      <c r="M119" s="170" t="str">
        <f t="shared" si="33"/>
        <v>-</v>
      </c>
      <c r="N119" s="170" t="str">
        <f t="shared" si="33"/>
        <v>-</v>
      </c>
      <c r="O119" s="170" t="str">
        <f t="shared" si="33"/>
        <v>-</v>
      </c>
      <c r="P119" s="173" t="str">
        <f t="shared" si="33"/>
        <v>-</v>
      </c>
      <c r="Q119" s="172" t="str">
        <f t="shared" si="33"/>
        <v>-</v>
      </c>
      <c r="R119" s="170" t="str">
        <f t="shared" si="33"/>
        <v>-</v>
      </c>
      <c r="S119" s="170" t="str">
        <f t="shared" si="34"/>
        <v>-</v>
      </c>
      <c r="T119" s="170" t="str">
        <f t="shared" si="34"/>
        <v>-</v>
      </c>
      <c r="U119" s="174" t="str">
        <f t="shared" si="34"/>
        <v>-</v>
      </c>
      <c r="V119" s="175" t="str">
        <f t="shared" si="34"/>
        <v>-</v>
      </c>
      <c r="W119" s="170" t="str">
        <f t="shared" si="34"/>
        <v>-</v>
      </c>
      <c r="X119" s="170" t="str">
        <f t="shared" si="34"/>
        <v>-</v>
      </c>
      <c r="Y119" s="170" t="str">
        <f t="shared" si="34"/>
        <v>-</v>
      </c>
      <c r="Z119" s="170" t="str">
        <f t="shared" si="34"/>
        <v>-</v>
      </c>
      <c r="AA119" s="170" t="str">
        <f t="shared" si="34"/>
        <v>-</v>
      </c>
      <c r="AB119" s="173" t="str">
        <f t="shared" si="34"/>
        <v>-</v>
      </c>
      <c r="AC119" s="170" t="str">
        <f>IF(A119="","",COUNTIF('Vika 36'!$B$5:$V$20,A119)+
COUNTIF('Vika 37'!$B$5:$V$20,A119)+
COUNTIF('Vika 38'!$B$5:$V$20,A119)+
COUNTIF('Vika 39'!$B$5:$V$20,A119)+
COUNTIF('Vika 40'!$B$5:$V$20,A119)+
COUNTIF('Vika 41'!$B$5:$V$20,A119)+
COUNTIF('Vika 42'!$B$5:$V$20,A119)+
COUNTIF('Vika 43'!$B$5:$V$20,A119)+
COUNTIF('Vika 44'!$B$5:$V$20,A119)+
COUNTIF('Vika 45'!$B$5:$V$20,A119)+
COUNTIF('Vika 46'!$B$5:$V$20,A119)+
COUNTIF('Vika 47'!$B$5:$V$20,A119)+
COUNTIF('Vika 48'!$B$5:$V$20,A119)+
COUNTIF('Vika x5'!$B$5:$V$20,A119))</f>
        <v/>
      </c>
    </row>
    <row r="120" spans="1:30" x14ac:dyDescent="0.2">
      <c r="A120" s="155"/>
      <c r="B120" s="172"/>
      <c r="C120" s="170" t="str">
        <f t="shared" si="33"/>
        <v>-</v>
      </c>
      <c r="D120" s="170" t="str">
        <f t="shared" si="33"/>
        <v>-</v>
      </c>
      <c r="E120" s="170" t="str">
        <f t="shared" si="33"/>
        <v>-</v>
      </c>
      <c r="F120" s="173" t="str">
        <f t="shared" si="33"/>
        <v>-</v>
      </c>
      <c r="G120" s="172" t="str">
        <f t="shared" si="33"/>
        <v>-</v>
      </c>
      <c r="H120" s="170" t="str">
        <f t="shared" si="33"/>
        <v>-</v>
      </c>
      <c r="I120" s="170" t="str">
        <f t="shared" si="33"/>
        <v>-</v>
      </c>
      <c r="J120" s="170" t="str">
        <f t="shared" si="33"/>
        <v>-</v>
      </c>
      <c r="K120" s="173" t="str">
        <f t="shared" si="33"/>
        <v>-</v>
      </c>
      <c r="L120" s="172" t="str">
        <f t="shared" si="33"/>
        <v>-</v>
      </c>
      <c r="M120" s="170" t="str">
        <f t="shared" si="33"/>
        <v>-</v>
      </c>
      <c r="N120" s="170" t="str">
        <f t="shared" si="33"/>
        <v>-</v>
      </c>
      <c r="O120" s="170" t="str">
        <f t="shared" si="33"/>
        <v>-</v>
      </c>
      <c r="P120" s="173" t="str">
        <f t="shared" si="33"/>
        <v>-</v>
      </c>
      <c r="Q120" s="172" t="str">
        <f t="shared" si="33"/>
        <v>-</v>
      </c>
      <c r="R120" s="170" t="str">
        <f t="shared" si="33"/>
        <v>-</v>
      </c>
      <c r="S120" s="170" t="str">
        <f t="shared" si="34"/>
        <v>-</v>
      </c>
      <c r="T120" s="170" t="str">
        <f t="shared" si="34"/>
        <v>-</v>
      </c>
      <c r="U120" s="174" t="str">
        <f t="shared" si="34"/>
        <v>-</v>
      </c>
      <c r="V120" s="175" t="str">
        <f t="shared" si="34"/>
        <v>-</v>
      </c>
      <c r="W120" s="170" t="str">
        <f t="shared" si="34"/>
        <v>-</v>
      </c>
      <c r="X120" s="170" t="str">
        <f t="shared" si="34"/>
        <v>-</v>
      </c>
      <c r="Y120" s="170" t="str">
        <f t="shared" si="34"/>
        <v>-</v>
      </c>
      <c r="Z120" s="170" t="str">
        <f t="shared" si="34"/>
        <v>-</v>
      </c>
      <c r="AA120" s="170" t="str">
        <f t="shared" si="34"/>
        <v>-</v>
      </c>
      <c r="AB120" s="173" t="str">
        <f t="shared" si="34"/>
        <v>-</v>
      </c>
      <c r="AC120" s="170" t="str">
        <f>IF(A120="","",COUNTIF('Vika 36'!$B$5:$V$20,A120)+
COUNTIF('Vika 37'!$B$5:$V$20,A120)+
COUNTIF('Vika 38'!$B$5:$V$20,A120)+
COUNTIF('Vika 39'!$B$5:$V$20,A120)+
COUNTIF('Vika 40'!$B$5:$V$20,A120)+
COUNTIF('Vika 41'!$B$5:$V$20,A120)+
COUNTIF('Vika 42'!$B$5:$V$20,A120)+
COUNTIF('Vika 43'!$B$5:$V$20,A120)+
COUNTIF('Vika 44'!$B$5:$V$20,A120)+
COUNTIF('Vika 45'!$B$5:$V$20,A120)+
COUNTIF('Vika 46'!$B$5:$V$20,A120)+
COUNTIF('Vika 47'!$B$5:$V$20,A120)+
COUNTIF('Vika 48'!$B$5:$V$20,A120)+
COUNTIF('Vika x5'!$B$5:$V$20,A120))</f>
        <v/>
      </c>
    </row>
    <row r="121" spans="1:30" x14ac:dyDescent="0.2">
      <c r="A121" s="155"/>
      <c r="B121" s="172"/>
      <c r="C121" s="170" t="str">
        <f t="shared" si="33"/>
        <v>-</v>
      </c>
      <c r="D121" s="170" t="str">
        <f t="shared" si="33"/>
        <v>-</v>
      </c>
      <c r="E121" s="170" t="str">
        <f t="shared" si="33"/>
        <v>-</v>
      </c>
      <c r="F121" s="173" t="str">
        <f t="shared" si="33"/>
        <v>-</v>
      </c>
      <c r="G121" s="172" t="str">
        <f t="shared" si="33"/>
        <v>-</v>
      </c>
      <c r="H121" s="170" t="str">
        <f t="shared" si="33"/>
        <v>-</v>
      </c>
      <c r="I121" s="170" t="str">
        <f t="shared" si="33"/>
        <v>-</v>
      </c>
      <c r="J121" s="170" t="str">
        <f t="shared" si="33"/>
        <v>-</v>
      </c>
      <c r="K121" s="173" t="str">
        <f t="shared" si="33"/>
        <v>-</v>
      </c>
      <c r="L121" s="172" t="str">
        <f t="shared" si="33"/>
        <v>-</v>
      </c>
      <c r="M121" s="170" t="str">
        <f t="shared" si="33"/>
        <v>-</v>
      </c>
      <c r="N121" s="170" t="str">
        <f t="shared" si="33"/>
        <v>-</v>
      </c>
      <c r="O121" s="170" t="str">
        <f t="shared" si="33"/>
        <v>-</v>
      </c>
      <c r="P121" s="173" t="str">
        <f t="shared" si="33"/>
        <v>-</v>
      </c>
      <c r="Q121" s="172" t="str">
        <f t="shared" si="33"/>
        <v>-</v>
      </c>
      <c r="R121" s="170" t="str">
        <f t="shared" si="33"/>
        <v>-</v>
      </c>
      <c r="S121" s="170" t="str">
        <f t="shared" si="34"/>
        <v>-</v>
      </c>
      <c r="T121" s="170" t="str">
        <f t="shared" si="34"/>
        <v>-</v>
      </c>
      <c r="U121" s="174" t="str">
        <f t="shared" si="34"/>
        <v>-</v>
      </c>
      <c r="V121" s="175" t="str">
        <f t="shared" si="34"/>
        <v>-</v>
      </c>
      <c r="W121" s="170" t="str">
        <f t="shared" si="34"/>
        <v>-</v>
      </c>
      <c r="X121" s="170" t="str">
        <f t="shared" si="34"/>
        <v>-</v>
      </c>
      <c r="Y121" s="170" t="str">
        <f t="shared" si="34"/>
        <v>-</v>
      </c>
      <c r="Z121" s="170" t="str">
        <f t="shared" si="34"/>
        <v>-</v>
      </c>
      <c r="AA121" s="170" t="str">
        <f t="shared" si="34"/>
        <v>-</v>
      </c>
      <c r="AB121" s="173" t="str">
        <f t="shared" si="34"/>
        <v>-</v>
      </c>
      <c r="AC121" s="170" t="str">
        <f>IF(A121="","",COUNTIF('Vika 36'!$B$5:$V$20,A121)+
COUNTIF('Vika 37'!$B$5:$V$20,A121)+
COUNTIF('Vika 38'!$B$5:$V$20,A121)+
COUNTIF('Vika 39'!$B$5:$V$20,A121)+
COUNTIF('Vika 40'!$B$5:$V$20,A121)+
COUNTIF('Vika 41'!$B$5:$V$20,A121)+
COUNTIF('Vika 42'!$B$5:$V$20,A121)+
COUNTIF('Vika 43'!$B$5:$V$20,A121)+
COUNTIF('Vika 44'!$B$5:$V$20,A121)+
COUNTIF('Vika 45'!$B$5:$V$20,A121)+
COUNTIF('Vika 46'!$B$5:$V$20,A121)+
COUNTIF('Vika 47'!$B$5:$V$20,A121)+
COUNTIF('Vika 48'!$B$5:$V$20,A121)+
COUNTIF('Vika x5'!$B$5:$V$20,A121))</f>
        <v/>
      </c>
    </row>
    <row r="122" spans="1:30" x14ac:dyDescent="0.2">
      <c r="A122" s="155"/>
      <c r="B122" s="172"/>
      <c r="C122" s="170" t="str">
        <f t="shared" si="33"/>
        <v>-</v>
      </c>
      <c r="D122" s="170" t="str">
        <f t="shared" si="33"/>
        <v>-</v>
      </c>
      <c r="E122" s="170" t="str">
        <f t="shared" si="33"/>
        <v>-</v>
      </c>
      <c r="F122" s="173" t="str">
        <f t="shared" si="33"/>
        <v>-</v>
      </c>
      <c r="G122" s="172" t="str">
        <f t="shared" si="33"/>
        <v>-</v>
      </c>
      <c r="H122" s="170" t="str">
        <f t="shared" si="33"/>
        <v>-</v>
      </c>
      <c r="I122" s="170" t="str">
        <f t="shared" si="33"/>
        <v>-</v>
      </c>
      <c r="J122" s="170" t="str">
        <f t="shared" si="33"/>
        <v>-</v>
      </c>
      <c r="K122" s="173" t="str">
        <f t="shared" si="33"/>
        <v>-</v>
      </c>
      <c r="L122" s="172" t="str">
        <f t="shared" si="33"/>
        <v>-</v>
      </c>
      <c r="M122" s="170" t="str">
        <f t="shared" si="33"/>
        <v>-</v>
      </c>
      <c r="N122" s="170" t="str">
        <f t="shared" si="33"/>
        <v>-</v>
      </c>
      <c r="O122" s="170" t="str">
        <f t="shared" si="33"/>
        <v>-</v>
      </c>
      <c r="P122" s="173" t="str">
        <f t="shared" si="33"/>
        <v>-</v>
      </c>
      <c r="Q122" s="172" t="str">
        <f t="shared" si="33"/>
        <v>-</v>
      </c>
      <c r="R122" s="170" t="str">
        <f t="shared" si="33"/>
        <v>-</v>
      </c>
      <c r="S122" s="170" t="str">
        <f t="shared" si="34"/>
        <v>-</v>
      </c>
      <c r="T122" s="170" t="str">
        <f t="shared" si="34"/>
        <v>-</v>
      </c>
      <c r="U122" s="174" t="str">
        <f t="shared" si="34"/>
        <v>-</v>
      </c>
      <c r="V122" s="175" t="str">
        <f t="shared" si="34"/>
        <v>-</v>
      </c>
      <c r="W122" s="170" t="str">
        <f t="shared" si="34"/>
        <v>-</v>
      </c>
      <c r="X122" s="170" t="str">
        <f t="shared" si="34"/>
        <v>-</v>
      </c>
      <c r="Y122" s="170" t="str">
        <f t="shared" si="34"/>
        <v>-</v>
      </c>
      <c r="Z122" s="170" t="str">
        <f t="shared" si="34"/>
        <v>-</v>
      </c>
      <c r="AA122" s="170" t="str">
        <f t="shared" si="34"/>
        <v>-</v>
      </c>
      <c r="AB122" s="173" t="str">
        <f t="shared" si="34"/>
        <v>-</v>
      </c>
      <c r="AC122" s="170" t="str">
        <f>IF(A122="","",COUNTIF('Vika 36'!$B$5:$V$20,A122)+
COUNTIF('Vika 37'!$B$5:$V$20,A122)+
COUNTIF('Vika 38'!$B$5:$V$20,A122)+
COUNTIF('Vika 39'!$B$5:$V$20,A122)+
COUNTIF('Vika 40'!$B$5:$V$20,A122)+
COUNTIF('Vika 41'!$B$5:$V$20,A122)+
COUNTIF('Vika 42'!$B$5:$V$20,A122)+
COUNTIF('Vika 43'!$B$5:$V$20,A122)+
COUNTIF('Vika 44'!$B$5:$V$20,A122)+
COUNTIF('Vika 45'!$B$5:$V$20,A122)+
COUNTIF('Vika 46'!$B$5:$V$20,A122)+
COUNTIF('Vika 47'!$B$5:$V$20,A122)+
COUNTIF('Vika 48'!$B$5:$V$20,A122)+
COUNTIF('Vika x5'!$B$5:$V$20,A122))</f>
        <v/>
      </c>
    </row>
    <row r="123" spans="1:30" x14ac:dyDescent="0.2">
      <c r="A123" s="155"/>
      <c r="B123" s="172"/>
      <c r="C123" s="170" t="str">
        <f t="shared" si="33"/>
        <v>-</v>
      </c>
      <c r="D123" s="170" t="str">
        <f t="shared" si="33"/>
        <v>-</v>
      </c>
      <c r="E123" s="170" t="str">
        <f t="shared" si="33"/>
        <v>-</v>
      </c>
      <c r="F123" s="173" t="str">
        <f t="shared" si="33"/>
        <v>-</v>
      </c>
      <c r="G123" s="172" t="str">
        <f t="shared" si="33"/>
        <v>-</v>
      </c>
      <c r="H123" s="170" t="str">
        <f t="shared" si="33"/>
        <v>-</v>
      </c>
      <c r="I123" s="170" t="str">
        <f t="shared" si="33"/>
        <v>-</v>
      </c>
      <c r="J123" s="170" t="str">
        <f t="shared" si="33"/>
        <v>-</v>
      </c>
      <c r="K123" s="173" t="str">
        <f t="shared" si="33"/>
        <v>-</v>
      </c>
      <c r="L123" s="172" t="str">
        <f t="shared" si="33"/>
        <v>-</v>
      </c>
      <c r="M123" s="170" t="str">
        <f t="shared" si="33"/>
        <v>-</v>
      </c>
      <c r="N123" s="170" t="str">
        <f t="shared" si="33"/>
        <v>-</v>
      </c>
      <c r="O123" s="170" t="str">
        <f t="shared" si="33"/>
        <v>-</v>
      </c>
      <c r="P123" s="173" t="str">
        <f t="shared" si="33"/>
        <v>-</v>
      </c>
      <c r="Q123" s="172" t="str">
        <f t="shared" si="33"/>
        <v>-</v>
      </c>
      <c r="R123" s="170" t="str">
        <f t="shared" si="33"/>
        <v>-</v>
      </c>
      <c r="S123" s="170" t="str">
        <f t="shared" si="34"/>
        <v>-</v>
      </c>
      <c r="T123" s="170" t="str">
        <f t="shared" si="34"/>
        <v>-</v>
      </c>
      <c r="U123" s="174" t="str">
        <f t="shared" si="34"/>
        <v>-</v>
      </c>
      <c r="V123" s="175" t="str">
        <f t="shared" si="34"/>
        <v>-</v>
      </c>
      <c r="W123" s="170" t="str">
        <f t="shared" si="34"/>
        <v>-</v>
      </c>
      <c r="X123" s="170" t="str">
        <f t="shared" si="34"/>
        <v>-</v>
      </c>
      <c r="Y123" s="170" t="str">
        <f t="shared" si="34"/>
        <v>-</v>
      </c>
      <c r="Z123" s="170" t="str">
        <f t="shared" si="34"/>
        <v>-</v>
      </c>
      <c r="AA123" s="170" t="str">
        <f t="shared" si="34"/>
        <v>-</v>
      </c>
      <c r="AB123" s="173" t="str">
        <f t="shared" si="34"/>
        <v>-</v>
      </c>
      <c r="AC123" s="170" t="str">
        <f>IF(A123="","",COUNTIF('Vika 36'!$B$5:$V$20,A123)+
COUNTIF('Vika 37'!$B$5:$V$20,A123)+
COUNTIF('Vika 38'!$B$5:$V$20,A123)+
COUNTIF('Vika 39'!$B$5:$V$20,A123)+
COUNTIF('Vika 40'!$B$5:$V$20,A123)+
COUNTIF('Vika 41'!$B$5:$V$20,A123)+
COUNTIF('Vika 42'!$B$5:$V$20,A123)+
COUNTIF('Vika 43'!$B$5:$V$20,A123)+
COUNTIF('Vika 44'!$B$5:$V$20,A123)+
COUNTIF('Vika 45'!$B$5:$V$20,A123)+
COUNTIF('Vika 46'!$B$5:$V$20,A123)+
COUNTIF('Vika 47'!$B$5:$V$20,A123)+
COUNTIF('Vika 48'!$B$5:$V$20,A123)+
COUNTIF('Vika x5'!$B$5:$V$20,A123))</f>
        <v/>
      </c>
    </row>
    <row r="124" spans="1:30" x14ac:dyDescent="0.2">
      <c r="A124" s="155"/>
      <c r="B124" s="172"/>
      <c r="C124" s="170" t="str">
        <f t="shared" si="33"/>
        <v>-</v>
      </c>
      <c r="D124" s="170" t="str">
        <f t="shared" si="33"/>
        <v>-</v>
      </c>
      <c r="E124" s="170" t="str">
        <f t="shared" si="33"/>
        <v>-</v>
      </c>
      <c r="F124" s="173" t="str">
        <f t="shared" si="33"/>
        <v>-</v>
      </c>
      <c r="G124" s="172" t="str">
        <f t="shared" si="33"/>
        <v>-</v>
      </c>
      <c r="H124" s="170" t="str">
        <f t="shared" si="33"/>
        <v>-</v>
      </c>
      <c r="I124" s="170" t="str">
        <f t="shared" si="33"/>
        <v>-</v>
      </c>
      <c r="J124" s="170" t="str">
        <f t="shared" si="33"/>
        <v>-</v>
      </c>
      <c r="K124" s="173" t="str">
        <f t="shared" si="33"/>
        <v>-</v>
      </c>
      <c r="L124" s="172" t="str">
        <f t="shared" si="33"/>
        <v>-</v>
      </c>
      <c r="M124" s="170" t="str">
        <f t="shared" si="33"/>
        <v>-</v>
      </c>
      <c r="N124" s="170" t="str">
        <f t="shared" si="33"/>
        <v>-</v>
      </c>
      <c r="O124" s="170" t="str">
        <f t="shared" si="33"/>
        <v>-</v>
      </c>
      <c r="P124" s="173" t="str">
        <f t="shared" si="33"/>
        <v>-</v>
      </c>
      <c r="Q124" s="172" t="str">
        <f t="shared" si="33"/>
        <v>-</v>
      </c>
      <c r="R124" s="170" t="str">
        <f t="shared" si="33"/>
        <v>-</v>
      </c>
      <c r="S124" s="170" t="str">
        <f t="shared" si="34"/>
        <v>-</v>
      </c>
      <c r="T124" s="170" t="str">
        <f t="shared" si="34"/>
        <v>-</v>
      </c>
      <c r="U124" s="174" t="str">
        <f t="shared" si="34"/>
        <v>-</v>
      </c>
      <c r="V124" s="175" t="str">
        <f t="shared" si="34"/>
        <v>-</v>
      </c>
      <c r="W124" s="170" t="str">
        <f t="shared" si="34"/>
        <v>-</v>
      </c>
      <c r="X124" s="170" t="str">
        <f t="shared" si="34"/>
        <v>-</v>
      </c>
      <c r="Y124" s="170" t="str">
        <f t="shared" si="34"/>
        <v>-</v>
      </c>
      <c r="Z124" s="170" t="str">
        <f t="shared" si="34"/>
        <v>-</v>
      </c>
      <c r="AA124" s="170" t="str">
        <f t="shared" si="34"/>
        <v>-</v>
      </c>
      <c r="AB124" s="173" t="str">
        <f t="shared" si="34"/>
        <v>-</v>
      </c>
      <c r="AC124" s="170" t="str">
        <f>IF(A124="","",COUNTIF('Vika 36'!$B$5:$V$20,A124)+
COUNTIF('Vika 37'!$B$5:$V$20,A124)+
COUNTIF('Vika 38'!$B$5:$V$20,A124)+
COUNTIF('Vika 39'!$B$5:$V$20,A124)+
COUNTIF('Vika 40'!$B$5:$V$20,A124)+
COUNTIF('Vika 41'!$B$5:$V$20,A124)+
COUNTIF('Vika 42'!$B$5:$V$20,A124)+
COUNTIF('Vika 43'!$B$5:$V$20,A124)+
COUNTIF('Vika 44'!$B$5:$V$20,A124)+
COUNTIF('Vika 45'!$B$5:$V$20,A124)+
COUNTIF('Vika 46'!$B$5:$V$20,A124)+
COUNTIF('Vika 47'!$B$5:$V$20,A124)+
COUNTIF('Vika 48'!$B$5:$V$20,A124)+
COUNTIF('Vika x5'!$B$5:$V$20,A124))</f>
        <v/>
      </c>
    </row>
    <row r="125" spans="1:30" x14ac:dyDescent="0.2">
      <c r="A125" s="155"/>
      <c r="B125" s="172"/>
      <c r="C125" s="170" t="str">
        <f t="shared" si="33"/>
        <v>-</v>
      </c>
      <c r="D125" s="170" t="str">
        <f t="shared" si="33"/>
        <v>-</v>
      </c>
      <c r="E125" s="170" t="str">
        <f t="shared" si="33"/>
        <v>-</v>
      </c>
      <c r="F125" s="173" t="str">
        <f t="shared" si="33"/>
        <v>-</v>
      </c>
      <c r="G125" s="172" t="str">
        <f t="shared" si="33"/>
        <v>-</v>
      </c>
      <c r="H125" s="170" t="str">
        <f t="shared" si="33"/>
        <v>-</v>
      </c>
      <c r="I125" s="170" t="str">
        <f t="shared" si="33"/>
        <v>-</v>
      </c>
      <c r="J125" s="170" t="str">
        <f t="shared" si="33"/>
        <v>-</v>
      </c>
      <c r="K125" s="173" t="str">
        <f t="shared" si="33"/>
        <v>-</v>
      </c>
      <c r="L125" s="172" t="str">
        <f t="shared" si="33"/>
        <v>-</v>
      </c>
      <c r="M125" s="170" t="str">
        <f t="shared" si="33"/>
        <v>-</v>
      </c>
      <c r="N125" s="170" t="str">
        <f t="shared" si="33"/>
        <v>-</v>
      </c>
      <c r="O125" s="170" t="str">
        <f t="shared" si="33"/>
        <v>-</v>
      </c>
      <c r="P125" s="173" t="str">
        <f t="shared" si="33"/>
        <v>-</v>
      </c>
      <c r="Q125" s="172" t="str">
        <f t="shared" si="33"/>
        <v>-</v>
      </c>
      <c r="R125" s="170" t="str">
        <f t="shared" si="33"/>
        <v>-</v>
      </c>
      <c r="S125" s="170" t="str">
        <f t="shared" si="34"/>
        <v>-</v>
      </c>
      <c r="T125" s="170" t="str">
        <f t="shared" si="34"/>
        <v>-</v>
      </c>
      <c r="U125" s="174" t="str">
        <f t="shared" si="34"/>
        <v>-</v>
      </c>
      <c r="V125" s="175" t="str">
        <f t="shared" si="34"/>
        <v>-</v>
      </c>
      <c r="W125" s="170" t="str">
        <f t="shared" si="34"/>
        <v>-</v>
      </c>
      <c r="X125" s="170" t="str">
        <f t="shared" si="34"/>
        <v>-</v>
      </c>
      <c r="Y125" s="170" t="str">
        <f t="shared" si="34"/>
        <v>-</v>
      </c>
      <c r="Z125" s="170" t="str">
        <f t="shared" si="34"/>
        <v>-</v>
      </c>
      <c r="AA125" s="170" t="str">
        <f t="shared" si="34"/>
        <v>-</v>
      </c>
      <c r="AB125" s="173" t="str">
        <f t="shared" si="34"/>
        <v>-</v>
      </c>
      <c r="AC125" s="170" t="str">
        <f>IF(A125="","",COUNTIF('Vika 36'!$B$5:$V$20,A125)+
COUNTIF('Vika 37'!$B$5:$V$20,A125)+
COUNTIF('Vika 38'!$B$5:$V$20,A125)+
COUNTIF('Vika 39'!$B$5:$V$20,A125)+
COUNTIF('Vika 40'!$B$5:$V$20,A125)+
COUNTIF('Vika 41'!$B$5:$V$20,A125)+
COUNTIF('Vika 42'!$B$5:$V$20,A125)+
COUNTIF('Vika 43'!$B$5:$V$20,A125)+
COUNTIF('Vika 44'!$B$5:$V$20,A125)+
COUNTIF('Vika 45'!$B$5:$V$20,A125)+
COUNTIF('Vika 46'!$B$5:$V$20,A125)+
COUNTIF('Vika 47'!$B$5:$V$20,A125)+
COUNTIF('Vika 48'!$B$5:$V$20,A125)+
COUNTIF('Vika x5'!$B$5:$V$20,A125))</f>
        <v/>
      </c>
    </row>
    <row r="126" spans="1:30" x14ac:dyDescent="0.2">
      <c r="A126" s="155"/>
      <c r="B126" s="172"/>
      <c r="C126" s="170" t="str">
        <f t="shared" ref="C126:R128" si="35">IF(OR($B126="-",$B126=""),"-",$B126*C$203)</f>
        <v>-</v>
      </c>
      <c r="D126" s="170" t="str">
        <f t="shared" si="35"/>
        <v>-</v>
      </c>
      <c r="E126" s="170" t="str">
        <f t="shared" si="35"/>
        <v>-</v>
      </c>
      <c r="F126" s="173" t="str">
        <f t="shared" si="35"/>
        <v>-</v>
      </c>
      <c r="G126" s="172" t="str">
        <f t="shared" si="35"/>
        <v>-</v>
      </c>
      <c r="H126" s="170" t="str">
        <f t="shared" si="35"/>
        <v>-</v>
      </c>
      <c r="I126" s="170" t="str">
        <f t="shared" si="35"/>
        <v>-</v>
      </c>
      <c r="J126" s="170" t="str">
        <f t="shared" si="35"/>
        <v>-</v>
      </c>
      <c r="K126" s="173" t="str">
        <f t="shared" si="35"/>
        <v>-</v>
      </c>
      <c r="L126" s="172" t="str">
        <f t="shared" si="35"/>
        <v>-</v>
      </c>
      <c r="M126" s="170" t="str">
        <f t="shared" si="35"/>
        <v>-</v>
      </c>
      <c r="N126" s="170" t="str">
        <f t="shared" si="35"/>
        <v>-</v>
      </c>
      <c r="O126" s="170" t="str">
        <f t="shared" si="35"/>
        <v>-</v>
      </c>
      <c r="P126" s="173" t="str">
        <f t="shared" si="35"/>
        <v>-</v>
      </c>
      <c r="Q126" s="172" t="str">
        <f t="shared" si="35"/>
        <v>-</v>
      </c>
      <c r="R126" s="170" t="str">
        <f t="shared" si="35"/>
        <v>-</v>
      </c>
      <c r="S126" s="170" t="str">
        <f t="shared" ref="S126:AB141" si="36">IF(OR($B126="-",$B126=""),"-",$B126*S$203)</f>
        <v>-</v>
      </c>
      <c r="T126" s="170" t="str">
        <f t="shared" si="36"/>
        <v>-</v>
      </c>
      <c r="U126" s="174" t="str">
        <f t="shared" si="36"/>
        <v>-</v>
      </c>
      <c r="V126" s="175" t="str">
        <f t="shared" si="36"/>
        <v>-</v>
      </c>
      <c r="W126" s="170" t="str">
        <f t="shared" si="36"/>
        <v>-</v>
      </c>
      <c r="X126" s="170" t="str">
        <f t="shared" si="36"/>
        <v>-</v>
      </c>
      <c r="Y126" s="170" t="str">
        <f t="shared" si="36"/>
        <v>-</v>
      </c>
      <c r="Z126" s="170" t="str">
        <f t="shared" si="36"/>
        <v>-</v>
      </c>
      <c r="AA126" s="170" t="str">
        <f t="shared" si="36"/>
        <v>-</v>
      </c>
      <c r="AB126" s="173" t="str">
        <f t="shared" si="36"/>
        <v>-</v>
      </c>
      <c r="AC126" s="170" t="str">
        <f>IF(A126="","",COUNTIF('Vika 36'!$B$5:$V$20,A126)+
COUNTIF('Vika 37'!$B$5:$V$20,A126)+
COUNTIF('Vika 38'!$B$5:$V$20,A126)+
COUNTIF('Vika 39'!$B$5:$V$20,A126)+
COUNTIF('Vika 40'!$B$5:$V$20,A126)+
COUNTIF('Vika 41'!$B$5:$V$20,A126)+
COUNTIF('Vika 42'!$B$5:$V$20,A126)+
COUNTIF('Vika 43'!$B$5:$V$20,A126)+
COUNTIF('Vika 44'!$B$5:$V$20,A126)+
COUNTIF('Vika 45'!$B$5:$V$20,A126)+
COUNTIF('Vika 46'!$B$5:$V$20,A126)+
COUNTIF('Vika 47'!$B$5:$V$20,A126)+
COUNTIF('Vika 48'!$B$5:$V$20,A126)+
COUNTIF('Vika x5'!$B$5:$V$20,A126))</f>
        <v/>
      </c>
    </row>
    <row r="127" spans="1:30" x14ac:dyDescent="0.2">
      <c r="A127" s="155"/>
      <c r="B127" s="172"/>
      <c r="C127" s="170" t="str">
        <f t="shared" si="35"/>
        <v>-</v>
      </c>
      <c r="D127" s="170" t="str">
        <f t="shared" si="35"/>
        <v>-</v>
      </c>
      <c r="E127" s="170" t="str">
        <f t="shared" si="35"/>
        <v>-</v>
      </c>
      <c r="F127" s="173" t="str">
        <f t="shared" si="35"/>
        <v>-</v>
      </c>
      <c r="G127" s="172" t="str">
        <f t="shared" si="35"/>
        <v>-</v>
      </c>
      <c r="H127" s="170" t="str">
        <f t="shared" si="35"/>
        <v>-</v>
      </c>
      <c r="I127" s="170" t="str">
        <f t="shared" si="35"/>
        <v>-</v>
      </c>
      <c r="J127" s="170" t="str">
        <f t="shared" si="35"/>
        <v>-</v>
      </c>
      <c r="K127" s="173" t="str">
        <f t="shared" si="35"/>
        <v>-</v>
      </c>
      <c r="L127" s="172" t="str">
        <f t="shared" si="35"/>
        <v>-</v>
      </c>
      <c r="M127" s="170" t="str">
        <f t="shared" si="35"/>
        <v>-</v>
      </c>
      <c r="N127" s="170" t="str">
        <f t="shared" si="35"/>
        <v>-</v>
      </c>
      <c r="O127" s="170" t="str">
        <f t="shared" si="35"/>
        <v>-</v>
      </c>
      <c r="P127" s="173" t="str">
        <f t="shared" si="35"/>
        <v>-</v>
      </c>
      <c r="Q127" s="172" t="str">
        <f t="shared" si="35"/>
        <v>-</v>
      </c>
      <c r="R127" s="170" t="str">
        <f t="shared" si="35"/>
        <v>-</v>
      </c>
      <c r="S127" s="170" t="str">
        <f t="shared" si="36"/>
        <v>-</v>
      </c>
      <c r="T127" s="170" t="str">
        <f t="shared" si="36"/>
        <v>-</v>
      </c>
      <c r="U127" s="174" t="str">
        <f t="shared" si="36"/>
        <v>-</v>
      </c>
      <c r="V127" s="175" t="str">
        <f t="shared" si="36"/>
        <v>-</v>
      </c>
      <c r="W127" s="170" t="str">
        <f t="shared" si="36"/>
        <v>-</v>
      </c>
      <c r="X127" s="170" t="str">
        <f t="shared" si="36"/>
        <v>-</v>
      </c>
      <c r="Y127" s="170" t="str">
        <f t="shared" si="36"/>
        <v>-</v>
      </c>
      <c r="Z127" s="170" t="str">
        <f t="shared" si="36"/>
        <v>-</v>
      </c>
      <c r="AA127" s="170" t="str">
        <f t="shared" si="36"/>
        <v>-</v>
      </c>
      <c r="AB127" s="173" t="str">
        <f t="shared" si="36"/>
        <v>-</v>
      </c>
      <c r="AC127" s="170" t="str">
        <f>IF(A127="","",COUNTIF('Vika 36'!$B$5:$V$20,A127)+
COUNTIF('Vika 37'!$B$5:$V$20,A127)+
COUNTIF('Vika 38'!$B$5:$V$20,A127)+
COUNTIF('Vika 39'!$B$5:$V$20,A127)+
COUNTIF('Vika 40'!$B$5:$V$20,A127)+
COUNTIF('Vika 41'!$B$5:$V$20,A127)+
COUNTIF('Vika 42'!$B$5:$V$20,A127)+
COUNTIF('Vika 43'!$B$5:$V$20,A127)+
COUNTIF('Vika 44'!$B$5:$V$20,A127)+
COUNTIF('Vika 45'!$B$5:$V$20,A127)+
COUNTIF('Vika 46'!$B$5:$V$20,A127)+
COUNTIF('Vika 47'!$B$5:$V$20,A127)+
COUNTIF('Vika 48'!$B$5:$V$20,A127)+
COUNTIF('Vika x5'!$B$5:$V$20,A127))</f>
        <v/>
      </c>
    </row>
    <row r="128" spans="1:30" x14ac:dyDescent="0.2">
      <c r="A128" s="155"/>
      <c r="B128" s="172"/>
      <c r="C128" s="170" t="str">
        <f t="shared" si="35"/>
        <v>-</v>
      </c>
      <c r="D128" s="170" t="str">
        <f t="shared" si="35"/>
        <v>-</v>
      </c>
      <c r="E128" s="170" t="str">
        <f t="shared" si="35"/>
        <v>-</v>
      </c>
      <c r="F128" s="173" t="str">
        <f t="shared" si="35"/>
        <v>-</v>
      </c>
      <c r="G128" s="172" t="str">
        <f t="shared" si="35"/>
        <v>-</v>
      </c>
      <c r="H128" s="170" t="str">
        <f t="shared" si="35"/>
        <v>-</v>
      </c>
      <c r="I128" s="170" t="str">
        <f t="shared" si="35"/>
        <v>-</v>
      </c>
      <c r="J128" s="170" t="str">
        <f t="shared" si="35"/>
        <v>-</v>
      </c>
      <c r="K128" s="173" t="str">
        <f t="shared" si="35"/>
        <v>-</v>
      </c>
      <c r="L128" s="172" t="str">
        <f t="shared" si="35"/>
        <v>-</v>
      </c>
      <c r="M128" s="170" t="str">
        <f t="shared" si="35"/>
        <v>-</v>
      </c>
      <c r="N128" s="170" t="str">
        <f t="shared" si="35"/>
        <v>-</v>
      </c>
      <c r="O128" s="170" t="str">
        <f t="shared" si="35"/>
        <v>-</v>
      </c>
      <c r="P128" s="173" t="str">
        <f t="shared" ref="C128:R144" si="37">IF(OR($B128="-",$B128=""),"-",$B128*P$203)</f>
        <v>-</v>
      </c>
      <c r="Q128" s="172" t="str">
        <f t="shared" si="37"/>
        <v>-</v>
      </c>
      <c r="R128" s="170" t="str">
        <f t="shared" si="37"/>
        <v>-</v>
      </c>
      <c r="S128" s="170" t="str">
        <f t="shared" si="36"/>
        <v>-</v>
      </c>
      <c r="T128" s="170" t="str">
        <f t="shared" si="36"/>
        <v>-</v>
      </c>
      <c r="U128" s="174" t="str">
        <f t="shared" si="36"/>
        <v>-</v>
      </c>
      <c r="V128" s="175" t="str">
        <f t="shared" si="36"/>
        <v>-</v>
      </c>
      <c r="W128" s="170" t="str">
        <f t="shared" si="36"/>
        <v>-</v>
      </c>
      <c r="X128" s="170" t="str">
        <f t="shared" si="36"/>
        <v>-</v>
      </c>
      <c r="Y128" s="170" t="str">
        <f t="shared" si="36"/>
        <v>-</v>
      </c>
      <c r="Z128" s="170" t="str">
        <f t="shared" si="36"/>
        <v>-</v>
      </c>
      <c r="AA128" s="170" t="str">
        <f t="shared" si="36"/>
        <v>-</v>
      </c>
      <c r="AB128" s="173" t="str">
        <f t="shared" si="36"/>
        <v>-</v>
      </c>
      <c r="AC128" s="170" t="str">
        <f>IF(A128="","",COUNTIF('Vika 36'!$B$5:$V$20,A128)+
COUNTIF('Vika 37'!$B$5:$V$20,A128)+
COUNTIF('Vika 38'!$B$5:$V$20,A128)+
COUNTIF('Vika 39'!$B$5:$V$20,A128)+
COUNTIF('Vika 40'!$B$5:$V$20,A128)+
COUNTIF('Vika 41'!$B$5:$V$20,A128)+
COUNTIF('Vika 42'!$B$5:$V$20,A128)+
COUNTIF('Vika 43'!$B$5:$V$20,A128)+
COUNTIF('Vika 44'!$B$5:$V$20,A128)+
COUNTIF('Vika 45'!$B$5:$V$20,A128)+
COUNTIF('Vika 46'!$B$5:$V$20,A128)+
COUNTIF('Vika 47'!$B$5:$V$20,A128)+
COUNTIF('Vika 48'!$B$5:$V$20,A128)+
COUNTIF('Vika x5'!$B$5:$V$20,A128))</f>
        <v/>
      </c>
      <c r="AD128" s="157"/>
    </row>
    <row r="129" spans="1:29" x14ac:dyDescent="0.2">
      <c r="A129" s="155"/>
      <c r="B129" s="172"/>
      <c r="C129" s="170" t="str">
        <f t="shared" si="37"/>
        <v>-</v>
      </c>
      <c r="D129" s="170" t="str">
        <f t="shared" si="37"/>
        <v>-</v>
      </c>
      <c r="E129" s="170" t="str">
        <f t="shared" si="37"/>
        <v>-</v>
      </c>
      <c r="F129" s="173" t="str">
        <f t="shared" si="37"/>
        <v>-</v>
      </c>
      <c r="G129" s="172" t="str">
        <f t="shared" si="37"/>
        <v>-</v>
      </c>
      <c r="H129" s="170" t="str">
        <f t="shared" si="37"/>
        <v>-</v>
      </c>
      <c r="I129" s="170" t="str">
        <f t="shared" si="37"/>
        <v>-</v>
      </c>
      <c r="J129" s="170" t="str">
        <f t="shared" si="37"/>
        <v>-</v>
      </c>
      <c r="K129" s="173" t="str">
        <f t="shared" si="37"/>
        <v>-</v>
      </c>
      <c r="L129" s="172" t="str">
        <f t="shared" si="37"/>
        <v>-</v>
      </c>
      <c r="M129" s="170" t="str">
        <f t="shared" si="37"/>
        <v>-</v>
      </c>
      <c r="N129" s="170" t="str">
        <f t="shared" si="37"/>
        <v>-</v>
      </c>
      <c r="O129" s="170" t="str">
        <f t="shared" si="37"/>
        <v>-</v>
      </c>
      <c r="P129" s="173" t="str">
        <f t="shared" si="37"/>
        <v>-</v>
      </c>
      <c r="Q129" s="172" t="str">
        <f t="shared" si="37"/>
        <v>-</v>
      </c>
      <c r="R129" s="170" t="str">
        <f t="shared" si="37"/>
        <v>-</v>
      </c>
      <c r="S129" s="170" t="str">
        <f t="shared" si="36"/>
        <v>-</v>
      </c>
      <c r="T129" s="170" t="str">
        <f t="shared" si="36"/>
        <v>-</v>
      </c>
      <c r="U129" s="174" t="str">
        <f t="shared" si="36"/>
        <v>-</v>
      </c>
      <c r="V129" s="175" t="str">
        <f t="shared" si="36"/>
        <v>-</v>
      </c>
      <c r="W129" s="170" t="str">
        <f t="shared" si="36"/>
        <v>-</v>
      </c>
      <c r="X129" s="170" t="str">
        <f t="shared" si="36"/>
        <v>-</v>
      </c>
      <c r="Y129" s="170" t="str">
        <f t="shared" si="36"/>
        <v>-</v>
      </c>
      <c r="Z129" s="170" t="str">
        <f t="shared" si="36"/>
        <v>-</v>
      </c>
      <c r="AA129" s="170" t="str">
        <f t="shared" si="36"/>
        <v>-</v>
      </c>
      <c r="AB129" s="173" t="str">
        <f t="shared" si="36"/>
        <v>-</v>
      </c>
      <c r="AC129" s="170" t="str">
        <f>IF(A129="","",COUNTIF('Vika 36'!$B$5:$V$20,A129)+
COUNTIF('Vika 37'!$B$5:$V$20,A129)+
COUNTIF('Vika 38'!$B$5:$V$20,A129)+
COUNTIF('Vika 39'!$B$5:$V$20,A129)+
COUNTIF('Vika 40'!$B$5:$V$20,A129)+
COUNTIF('Vika 41'!$B$5:$V$20,A129)+
COUNTIF('Vika 42'!$B$5:$V$20,A129)+
COUNTIF('Vika 43'!$B$5:$V$20,A129)+
COUNTIF('Vika 44'!$B$5:$V$20,A129)+
COUNTIF('Vika 45'!$B$5:$V$20,A129)+
COUNTIF('Vika 46'!$B$5:$V$20,A129)+
COUNTIF('Vika 47'!$B$5:$V$20,A129)+
COUNTIF('Vika 48'!$B$5:$V$20,A129)+
COUNTIF('Vika x5'!$B$5:$V$20,A129))</f>
        <v/>
      </c>
    </row>
    <row r="130" spans="1:29" x14ac:dyDescent="0.2">
      <c r="A130" s="155"/>
      <c r="B130" s="172"/>
      <c r="C130" s="170" t="str">
        <f t="shared" si="37"/>
        <v>-</v>
      </c>
      <c r="D130" s="170" t="str">
        <f t="shared" si="37"/>
        <v>-</v>
      </c>
      <c r="E130" s="170" t="str">
        <f t="shared" si="37"/>
        <v>-</v>
      </c>
      <c r="F130" s="173" t="str">
        <f t="shared" si="37"/>
        <v>-</v>
      </c>
      <c r="G130" s="172" t="str">
        <f t="shared" si="37"/>
        <v>-</v>
      </c>
      <c r="H130" s="170" t="str">
        <f t="shared" si="37"/>
        <v>-</v>
      </c>
      <c r="I130" s="170" t="str">
        <f t="shared" si="37"/>
        <v>-</v>
      </c>
      <c r="J130" s="170" t="str">
        <f t="shared" si="37"/>
        <v>-</v>
      </c>
      <c r="K130" s="173" t="str">
        <f t="shared" si="37"/>
        <v>-</v>
      </c>
      <c r="L130" s="172" t="str">
        <f t="shared" si="37"/>
        <v>-</v>
      </c>
      <c r="M130" s="170" t="str">
        <f t="shared" si="37"/>
        <v>-</v>
      </c>
      <c r="N130" s="170" t="str">
        <f t="shared" si="37"/>
        <v>-</v>
      </c>
      <c r="O130" s="170" t="str">
        <f t="shared" si="37"/>
        <v>-</v>
      </c>
      <c r="P130" s="173" t="str">
        <f t="shared" si="37"/>
        <v>-</v>
      </c>
      <c r="Q130" s="172" t="str">
        <f t="shared" si="37"/>
        <v>-</v>
      </c>
      <c r="R130" s="170" t="str">
        <f t="shared" si="37"/>
        <v>-</v>
      </c>
      <c r="S130" s="170" t="str">
        <f t="shared" si="36"/>
        <v>-</v>
      </c>
      <c r="T130" s="170" t="str">
        <f t="shared" si="36"/>
        <v>-</v>
      </c>
      <c r="U130" s="174" t="str">
        <f t="shared" si="36"/>
        <v>-</v>
      </c>
      <c r="V130" s="175" t="str">
        <f t="shared" si="36"/>
        <v>-</v>
      </c>
      <c r="W130" s="170" t="str">
        <f t="shared" si="36"/>
        <v>-</v>
      </c>
      <c r="X130" s="170" t="str">
        <f t="shared" si="36"/>
        <v>-</v>
      </c>
      <c r="Y130" s="170" t="str">
        <f t="shared" si="36"/>
        <v>-</v>
      </c>
      <c r="Z130" s="170" t="str">
        <f t="shared" si="36"/>
        <v>-</v>
      </c>
      <c r="AA130" s="170" t="str">
        <f t="shared" si="36"/>
        <v>-</v>
      </c>
      <c r="AB130" s="173" t="str">
        <f t="shared" si="36"/>
        <v>-</v>
      </c>
      <c r="AC130" s="170" t="str">
        <f>IF(A130="","",COUNTIF('Vika 36'!$B$5:$V$20,A130)+
COUNTIF('Vika 37'!$B$5:$V$20,A130)+
COUNTIF('Vika 38'!$B$5:$V$20,A130)+
COUNTIF('Vika 39'!$B$5:$V$20,A130)+
COUNTIF('Vika 40'!$B$5:$V$20,A130)+
COUNTIF('Vika 41'!$B$5:$V$20,A130)+
COUNTIF('Vika 42'!$B$5:$V$20,A130)+
COUNTIF('Vika 43'!$B$5:$V$20,A130)+
COUNTIF('Vika 44'!$B$5:$V$20,A130)+
COUNTIF('Vika 45'!$B$5:$V$20,A130)+
COUNTIF('Vika 46'!$B$5:$V$20,A130)+
COUNTIF('Vika 47'!$B$5:$V$20,A130)+
COUNTIF('Vika 48'!$B$5:$V$20,A130)+
COUNTIF('Vika x5'!$B$5:$V$20,A130))</f>
        <v/>
      </c>
    </row>
    <row r="131" spans="1:29" x14ac:dyDescent="0.2">
      <c r="A131" s="155"/>
      <c r="B131" s="172"/>
      <c r="C131" s="170" t="str">
        <f t="shared" si="37"/>
        <v>-</v>
      </c>
      <c r="D131" s="170" t="str">
        <f t="shared" si="37"/>
        <v>-</v>
      </c>
      <c r="E131" s="170" t="str">
        <f t="shared" si="37"/>
        <v>-</v>
      </c>
      <c r="F131" s="173" t="str">
        <f t="shared" si="37"/>
        <v>-</v>
      </c>
      <c r="G131" s="172" t="str">
        <f t="shared" si="37"/>
        <v>-</v>
      </c>
      <c r="H131" s="170" t="str">
        <f t="shared" si="37"/>
        <v>-</v>
      </c>
      <c r="I131" s="170" t="str">
        <f t="shared" si="37"/>
        <v>-</v>
      </c>
      <c r="J131" s="170" t="str">
        <f t="shared" si="37"/>
        <v>-</v>
      </c>
      <c r="K131" s="173" t="str">
        <f t="shared" si="37"/>
        <v>-</v>
      </c>
      <c r="L131" s="172" t="str">
        <f t="shared" si="37"/>
        <v>-</v>
      </c>
      <c r="M131" s="170" t="str">
        <f t="shared" si="37"/>
        <v>-</v>
      </c>
      <c r="N131" s="170" t="str">
        <f t="shared" si="37"/>
        <v>-</v>
      </c>
      <c r="O131" s="170" t="str">
        <f t="shared" si="37"/>
        <v>-</v>
      </c>
      <c r="P131" s="173" t="str">
        <f t="shared" si="37"/>
        <v>-</v>
      </c>
      <c r="Q131" s="172" t="str">
        <f t="shared" si="37"/>
        <v>-</v>
      </c>
      <c r="R131" s="170" t="str">
        <f t="shared" si="37"/>
        <v>-</v>
      </c>
      <c r="S131" s="170" t="str">
        <f t="shared" si="36"/>
        <v>-</v>
      </c>
      <c r="T131" s="170" t="str">
        <f t="shared" si="36"/>
        <v>-</v>
      </c>
      <c r="U131" s="174" t="str">
        <f t="shared" si="36"/>
        <v>-</v>
      </c>
      <c r="V131" s="175" t="str">
        <f t="shared" si="36"/>
        <v>-</v>
      </c>
      <c r="W131" s="170" t="str">
        <f t="shared" si="36"/>
        <v>-</v>
      </c>
      <c r="X131" s="170" t="str">
        <f t="shared" si="36"/>
        <v>-</v>
      </c>
      <c r="Y131" s="170" t="str">
        <f t="shared" si="36"/>
        <v>-</v>
      </c>
      <c r="Z131" s="170" t="str">
        <f t="shared" si="36"/>
        <v>-</v>
      </c>
      <c r="AA131" s="170" t="str">
        <f t="shared" si="36"/>
        <v>-</v>
      </c>
      <c r="AB131" s="173" t="str">
        <f t="shared" si="36"/>
        <v>-</v>
      </c>
      <c r="AC131" s="170" t="str">
        <f>IF(A131="","",COUNTIF('Vika 36'!$B$5:$V$20,A131)+
COUNTIF('Vika 37'!$B$5:$V$20,A131)+
COUNTIF('Vika 38'!$B$5:$V$20,A131)+
COUNTIF('Vika 39'!$B$5:$V$20,A131)+
COUNTIF('Vika 40'!$B$5:$V$20,A131)+
COUNTIF('Vika 41'!$B$5:$V$20,A131)+
COUNTIF('Vika 42'!$B$5:$V$20,A131)+
COUNTIF('Vika 43'!$B$5:$V$20,A131)+
COUNTIF('Vika 44'!$B$5:$V$20,A131)+
COUNTIF('Vika 45'!$B$5:$V$20,A131)+
COUNTIF('Vika 46'!$B$5:$V$20,A131)+
COUNTIF('Vika 47'!$B$5:$V$20,A131)+
COUNTIF('Vika 48'!$B$5:$V$20,A131)+
COUNTIF('Vika x5'!$B$5:$V$20,A131))</f>
        <v/>
      </c>
    </row>
    <row r="132" spans="1:29" x14ac:dyDescent="0.2">
      <c r="A132" s="155"/>
      <c r="B132" s="172"/>
      <c r="C132" s="170" t="str">
        <f t="shared" si="37"/>
        <v>-</v>
      </c>
      <c r="D132" s="170" t="str">
        <f t="shared" si="37"/>
        <v>-</v>
      </c>
      <c r="E132" s="170" t="str">
        <f t="shared" si="37"/>
        <v>-</v>
      </c>
      <c r="F132" s="173" t="str">
        <f t="shared" si="37"/>
        <v>-</v>
      </c>
      <c r="G132" s="172" t="str">
        <f t="shared" si="37"/>
        <v>-</v>
      </c>
      <c r="H132" s="170" t="str">
        <f t="shared" si="37"/>
        <v>-</v>
      </c>
      <c r="I132" s="170" t="str">
        <f t="shared" si="37"/>
        <v>-</v>
      </c>
      <c r="J132" s="170" t="str">
        <f t="shared" si="37"/>
        <v>-</v>
      </c>
      <c r="K132" s="173" t="str">
        <f t="shared" si="37"/>
        <v>-</v>
      </c>
      <c r="L132" s="172" t="str">
        <f t="shared" si="37"/>
        <v>-</v>
      </c>
      <c r="M132" s="170" t="str">
        <f t="shared" si="37"/>
        <v>-</v>
      </c>
      <c r="N132" s="170" t="str">
        <f t="shared" si="37"/>
        <v>-</v>
      </c>
      <c r="O132" s="170" t="str">
        <f t="shared" si="37"/>
        <v>-</v>
      </c>
      <c r="P132" s="173" t="str">
        <f t="shared" si="37"/>
        <v>-</v>
      </c>
      <c r="Q132" s="172" t="str">
        <f t="shared" si="37"/>
        <v>-</v>
      </c>
      <c r="R132" s="170" t="str">
        <f t="shared" si="37"/>
        <v>-</v>
      </c>
      <c r="S132" s="170" t="str">
        <f t="shared" si="36"/>
        <v>-</v>
      </c>
      <c r="T132" s="170" t="str">
        <f t="shared" si="36"/>
        <v>-</v>
      </c>
      <c r="U132" s="174" t="str">
        <f t="shared" si="36"/>
        <v>-</v>
      </c>
      <c r="V132" s="175" t="str">
        <f t="shared" si="36"/>
        <v>-</v>
      </c>
      <c r="W132" s="170" t="str">
        <f t="shared" si="36"/>
        <v>-</v>
      </c>
      <c r="X132" s="170" t="str">
        <f t="shared" si="36"/>
        <v>-</v>
      </c>
      <c r="Y132" s="170" t="str">
        <f t="shared" si="36"/>
        <v>-</v>
      </c>
      <c r="Z132" s="170" t="str">
        <f t="shared" si="36"/>
        <v>-</v>
      </c>
      <c r="AA132" s="170" t="str">
        <f t="shared" si="36"/>
        <v>-</v>
      </c>
      <c r="AB132" s="173" t="str">
        <f t="shared" si="36"/>
        <v>-</v>
      </c>
      <c r="AC132" s="170" t="str">
        <f>IF(A132="","",COUNTIF('Vika 36'!$B$5:$V$20,A132)+
COUNTIF('Vika 37'!$B$5:$V$20,A132)+
COUNTIF('Vika 38'!$B$5:$V$20,A132)+
COUNTIF('Vika 39'!$B$5:$V$20,A132)+
COUNTIF('Vika 40'!$B$5:$V$20,A132)+
COUNTIF('Vika 41'!$B$5:$V$20,A132)+
COUNTIF('Vika 42'!$B$5:$V$20,A132)+
COUNTIF('Vika 43'!$B$5:$V$20,A132)+
COUNTIF('Vika 44'!$B$5:$V$20,A132)+
COUNTIF('Vika 45'!$B$5:$V$20,A132)+
COUNTIF('Vika 46'!$B$5:$V$20,A132)+
COUNTIF('Vika 47'!$B$5:$V$20,A132)+
COUNTIF('Vika 48'!$B$5:$V$20,A132)+
COUNTIF('Vika x5'!$B$5:$V$20,A132))</f>
        <v/>
      </c>
    </row>
    <row r="133" spans="1:29" x14ac:dyDescent="0.2">
      <c r="A133" s="155"/>
      <c r="B133" s="172"/>
      <c r="C133" s="170" t="str">
        <f t="shared" si="37"/>
        <v>-</v>
      </c>
      <c r="D133" s="170" t="str">
        <f t="shared" si="37"/>
        <v>-</v>
      </c>
      <c r="E133" s="170" t="str">
        <f t="shared" si="37"/>
        <v>-</v>
      </c>
      <c r="F133" s="173" t="str">
        <f t="shared" si="37"/>
        <v>-</v>
      </c>
      <c r="G133" s="172" t="str">
        <f t="shared" si="37"/>
        <v>-</v>
      </c>
      <c r="H133" s="170" t="str">
        <f t="shared" si="37"/>
        <v>-</v>
      </c>
      <c r="I133" s="170" t="str">
        <f t="shared" si="37"/>
        <v>-</v>
      </c>
      <c r="J133" s="170" t="str">
        <f t="shared" si="37"/>
        <v>-</v>
      </c>
      <c r="K133" s="173" t="str">
        <f t="shared" si="37"/>
        <v>-</v>
      </c>
      <c r="L133" s="172" t="str">
        <f t="shared" si="37"/>
        <v>-</v>
      </c>
      <c r="M133" s="170" t="str">
        <f t="shared" si="37"/>
        <v>-</v>
      </c>
      <c r="N133" s="170" t="str">
        <f t="shared" si="37"/>
        <v>-</v>
      </c>
      <c r="O133" s="170" t="str">
        <f t="shared" si="37"/>
        <v>-</v>
      </c>
      <c r="P133" s="173" t="str">
        <f t="shared" si="37"/>
        <v>-</v>
      </c>
      <c r="Q133" s="172" t="str">
        <f t="shared" si="37"/>
        <v>-</v>
      </c>
      <c r="R133" s="170" t="str">
        <f t="shared" si="37"/>
        <v>-</v>
      </c>
      <c r="S133" s="170" t="str">
        <f t="shared" si="36"/>
        <v>-</v>
      </c>
      <c r="T133" s="170" t="str">
        <f t="shared" si="36"/>
        <v>-</v>
      </c>
      <c r="U133" s="174" t="str">
        <f t="shared" si="36"/>
        <v>-</v>
      </c>
      <c r="V133" s="175" t="str">
        <f t="shared" si="36"/>
        <v>-</v>
      </c>
      <c r="W133" s="170" t="str">
        <f t="shared" si="36"/>
        <v>-</v>
      </c>
      <c r="X133" s="170" t="str">
        <f t="shared" si="36"/>
        <v>-</v>
      </c>
      <c r="Y133" s="170" t="str">
        <f t="shared" si="36"/>
        <v>-</v>
      </c>
      <c r="Z133" s="170" t="str">
        <f t="shared" si="36"/>
        <v>-</v>
      </c>
      <c r="AA133" s="170" t="str">
        <f t="shared" si="36"/>
        <v>-</v>
      </c>
      <c r="AB133" s="173" t="str">
        <f t="shared" si="36"/>
        <v>-</v>
      </c>
      <c r="AC133" s="170" t="str">
        <f>IF(A133="","",COUNTIF('Vika 36'!$B$5:$V$20,A133)+
COUNTIF('Vika 37'!$B$5:$V$20,A133)+
COUNTIF('Vika 38'!$B$5:$V$20,A133)+
COUNTIF('Vika 39'!$B$5:$V$20,A133)+
COUNTIF('Vika 40'!$B$5:$V$20,A133)+
COUNTIF('Vika 41'!$B$5:$V$20,A133)+
COUNTIF('Vika 42'!$B$5:$V$20,A133)+
COUNTIF('Vika 43'!$B$5:$V$20,A133)+
COUNTIF('Vika 44'!$B$5:$V$20,A133)+
COUNTIF('Vika 45'!$B$5:$V$20,A133)+
COUNTIF('Vika 46'!$B$5:$V$20,A133)+
COUNTIF('Vika 47'!$B$5:$V$20,A133)+
COUNTIF('Vika 48'!$B$5:$V$20,A133)+
COUNTIF('Vika x5'!$B$5:$V$20,A133))</f>
        <v/>
      </c>
    </row>
    <row r="134" spans="1:29" x14ac:dyDescent="0.2">
      <c r="A134" s="155"/>
      <c r="B134" s="172"/>
      <c r="C134" s="170" t="str">
        <f t="shared" si="37"/>
        <v>-</v>
      </c>
      <c r="D134" s="170" t="str">
        <f t="shared" si="37"/>
        <v>-</v>
      </c>
      <c r="E134" s="170" t="str">
        <f t="shared" si="37"/>
        <v>-</v>
      </c>
      <c r="F134" s="173" t="str">
        <f t="shared" si="37"/>
        <v>-</v>
      </c>
      <c r="G134" s="172" t="str">
        <f t="shared" si="37"/>
        <v>-</v>
      </c>
      <c r="H134" s="170" t="str">
        <f t="shared" si="37"/>
        <v>-</v>
      </c>
      <c r="I134" s="170" t="str">
        <f t="shared" si="37"/>
        <v>-</v>
      </c>
      <c r="J134" s="170" t="str">
        <f t="shared" si="37"/>
        <v>-</v>
      </c>
      <c r="K134" s="173" t="str">
        <f t="shared" si="37"/>
        <v>-</v>
      </c>
      <c r="L134" s="172" t="str">
        <f t="shared" si="37"/>
        <v>-</v>
      </c>
      <c r="M134" s="170" t="str">
        <f t="shared" si="37"/>
        <v>-</v>
      </c>
      <c r="N134" s="170" t="str">
        <f t="shared" si="37"/>
        <v>-</v>
      </c>
      <c r="O134" s="170" t="str">
        <f t="shared" si="37"/>
        <v>-</v>
      </c>
      <c r="P134" s="173" t="str">
        <f t="shared" si="37"/>
        <v>-</v>
      </c>
      <c r="Q134" s="172" t="str">
        <f t="shared" si="37"/>
        <v>-</v>
      </c>
      <c r="R134" s="170" t="str">
        <f t="shared" si="37"/>
        <v>-</v>
      </c>
      <c r="S134" s="170" t="str">
        <f t="shared" si="36"/>
        <v>-</v>
      </c>
      <c r="T134" s="170" t="str">
        <f t="shared" si="36"/>
        <v>-</v>
      </c>
      <c r="U134" s="174" t="str">
        <f t="shared" si="36"/>
        <v>-</v>
      </c>
      <c r="V134" s="175" t="str">
        <f t="shared" si="36"/>
        <v>-</v>
      </c>
      <c r="W134" s="170" t="str">
        <f t="shared" si="36"/>
        <v>-</v>
      </c>
      <c r="X134" s="170" t="str">
        <f t="shared" si="36"/>
        <v>-</v>
      </c>
      <c r="Y134" s="170" t="str">
        <f t="shared" si="36"/>
        <v>-</v>
      </c>
      <c r="Z134" s="170" t="str">
        <f t="shared" si="36"/>
        <v>-</v>
      </c>
      <c r="AA134" s="170" t="str">
        <f t="shared" si="36"/>
        <v>-</v>
      </c>
      <c r="AB134" s="173" t="str">
        <f t="shared" si="36"/>
        <v>-</v>
      </c>
      <c r="AC134" s="170" t="str">
        <f>IF(A134="","",COUNTIF('Vika 36'!$B$5:$V$20,A134)+
COUNTIF('Vika 37'!$B$5:$V$20,A134)+
COUNTIF('Vika 38'!$B$5:$V$20,A134)+
COUNTIF('Vika 39'!$B$5:$V$20,A134)+
COUNTIF('Vika 40'!$B$5:$V$20,A134)+
COUNTIF('Vika 41'!$B$5:$V$20,A134)+
COUNTIF('Vika 42'!$B$5:$V$20,A134)+
COUNTIF('Vika 43'!$B$5:$V$20,A134)+
COUNTIF('Vika 44'!$B$5:$V$20,A134)+
COUNTIF('Vika 45'!$B$5:$V$20,A134)+
COUNTIF('Vika 46'!$B$5:$V$20,A134)+
COUNTIF('Vika 47'!$B$5:$V$20,A134)+
COUNTIF('Vika 48'!$B$5:$V$20,A134)+
COUNTIF('Vika x5'!$B$5:$V$20,A134))</f>
        <v/>
      </c>
    </row>
    <row r="135" spans="1:29" x14ac:dyDescent="0.2">
      <c r="A135" s="155"/>
      <c r="B135" s="172"/>
      <c r="C135" s="170" t="str">
        <f t="shared" si="37"/>
        <v>-</v>
      </c>
      <c r="D135" s="170" t="str">
        <f t="shared" si="37"/>
        <v>-</v>
      </c>
      <c r="E135" s="170" t="str">
        <f t="shared" si="37"/>
        <v>-</v>
      </c>
      <c r="F135" s="173" t="str">
        <f t="shared" si="37"/>
        <v>-</v>
      </c>
      <c r="G135" s="172" t="str">
        <f t="shared" si="37"/>
        <v>-</v>
      </c>
      <c r="H135" s="170" t="str">
        <f t="shared" si="37"/>
        <v>-</v>
      </c>
      <c r="I135" s="170" t="str">
        <f t="shared" si="37"/>
        <v>-</v>
      </c>
      <c r="J135" s="170" t="str">
        <f t="shared" si="37"/>
        <v>-</v>
      </c>
      <c r="K135" s="173" t="str">
        <f t="shared" si="37"/>
        <v>-</v>
      </c>
      <c r="L135" s="172" t="str">
        <f t="shared" si="37"/>
        <v>-</v>
      </c>
      <c r="M135" s="170" t="str">
        <f t="shared" si="37"/>
        <v>-</v>
      </c>
      <c r="N135" s="170" t="str">
        <f t="shared" si="37"/>
        <v>-</v>
      </c>
      <c r="O135" s="170" t="str">
        <f t="shared" si="37"/>
        <v>-</v>
      </c>
      <c r="P135" s="173" t="str">
        <f t="shared" si="37"/>
        <v>-</v>
      </c>
      <c r="Q135" s="172" t="str">
        <f t="shared" si="37"/>
        <v>-</v>
      </c>
      <c r="R135" s="170" t="str">
        <f t="shared" si="37"/>
        <v>-</v>
      </c>
      <c r="S135" s="170" t="str">
        <f t="shared" si="36"/>
        <v>-</v>
      </c>
      <c r="T135" s="170" t="str">
        <f t="shared" si="36"/>
        <v>-</v>
      </c>
      <c r="U135" s="174" t="str">
        <f t="shared" si="36"/>
        <v>-</v>
      </c>
      <c r="V135" s="175" t="str">
        <f t="shared" si="36"/>
        <v>-</v>
      </c>
      <c r="W135" s="170" t="str">
        <f t="shared" si="36"/>
        <v>-</v>
      </c>
      <c r="X135" s="170" t="str">
        <f t="shared" si="36"/>
        <v>-</v>
      </c>
      <c r="Y135" s="170" t="str">
        <f t="shared" si="36"/>
        <v>-</v>
      </c>
      <c r="Z135" s="170" t="str">
        <f t="shared" si="36"/>
        <v>-</v>
      </c>
      <c r="AA135" s="170" t="str">
        <f t="shared" si="36"/>
        <v>-</v>
      </c>
      <c r="AB135" s="173" t="str">
        <f t="shared" si="36"/>
        <v>-</v>
      </c>
      <c r="AC135" s="170" t="str">
        <f>IF(A135="","",COUNTIF('Vika 36'!$B$5:$V$20,A135)+
COUNTIF('Vika 37'!$B$5:$V$20,A135)+
COUNTIF('Vika 38'!$B$5:$V$20,A135)+
COUNTIF('Vika 39'!$B$5:$V$20,A135)+
COUNTIF('Vika 40'!$B$5:$V$20,A135)+
COUNTIF('Vika 41'!$B$5:$V$20,A135)+
COUNTIF('Vika 42'!$B$5:$V$20,A135)+
COUNTIF('Vika 43'!$B$5:$V$20,A135)+
COUNTIF('Vika 44'!$B$5:$V$20,A135)+
COUNTIF('Vika 45'!$B$5:$V$20,A135)+
COUNTIF('Vika 46'!$B$5:$V$20,A135)+
COUNTIF('Vika 47'!$B$5:$V$20,A135)+
COUNTIF('Vika 48'!$B$5:$V$20,A135)+
COUNTIF('Vika x5'!$B$5:$V$20,A135))</f>
        <v/>
      </c>
    </row>
    <row r="136" spans="1:29" x14ac:dyDescent="0.2">
      <c r="A136" s="155"/>
      <c r="B136" s="172"/>
      <c r="C136" s="170" t="str">
        <f t="shared" si="37"/>
        <v>-</v>
      </c>
      <c r="D136" s="170" t="str">
        <f t="shared" si="37"/>
        <v>-</v>
      </c>
      <c r="E136" s="170" t="str">
        <f t="shared" si="37"/>
        <v>-</v>
      </c>
      <c r="F136" s="173" t="str">
        <f t="shared" si="37"/>
        <v>-</v>
      </c>
      <c r="G136" s="172" t="str">
        <f t="shared" si="37"/>
        <v>-</v>
      </c>
      <c r="H136" s="170" t="str">
        <f t="shared" si="37"/>
        <v>-</v>
      </c>
      <c r="I136" s="170" t="str">
        <f t="shared" si="37"/>
        <v>-</v>
      </c>
      <c r="J136" s="170" t="str">
        <f t="shared" si="37"/>
        <v>-</v>
      </c>
      <c r="K136" s="173" t="str">
        <f t="shared" si="37"/>
        <v>-</v>
      </c>
      <c r="L136" s="172" t="str">
        <f t="shared" si="37"/>
        <v>-</v>
      </c>
      <c r="M136" s="170" t="str">
        <f t="shared" si="37"/>
        <v>-</v>
      </c>
      <c r="N136" s="170" t="str">
        <f t="shared" si="37"/>
        <v>-</v>
      </c>
      <c r="O136" s="170" t="str">
        <f t="shared" si="37"/>
        <v>-</v>
      </c>
      <c r="P136" s="173" t="str">
        <f t="shared" si="37"/>
        <v>-</v>
      </c>
      <c r="Q136" s="172" t="str">
        <f t="shared" si="37"/>
        <v>-</v>
      </c>
      <c r="R136" s="170" t="str">
        <f t="shared" si="37"/>
        <v>-</v>
      </c>
      <c r="S136" s="170" t="str">
        <f t="shared" si="36"/>
        <v>-</v>
      </c>
      <c r="T136" s="170" t="str">
        <f t="shared" si="36"/>
        <v>-</v>
      </c>
      <c r="U136" s="174" t="str">
        <f t="shared" si="36"/>
        <v>-</v>
      </c>
      <c r="V136" s="175" t="str">
        <f t="shared" si="36"/>
        <v>-</v>
      </c>
      <c r="W136" s="170" t="str">
        <f t="shared" si="36"/>
        <v>-</v>
      </c>
      <c r="X136" s="170" t="str">
        <f t="shared" si="36"/>
        <v>-</v>
      </c>
      <c r="Y136" s="170" t="str">
        <f t="shared" si="36"/>
        <v>-</v>
      </c>
      <c r="Z136" s="170" t="str">
        <f t="shared" si="36"/>
        <v>-</v>
      </c>
      <c r="AA136" s="170" t="str">
        <f t="shared" si="36"/>
        <v>-</v>
      </c>
      <c r="AB136" s="173" t="str">
        <f t="shared" si="36"/>
        <v>-</v>
      </c>
      <c r="AC136" s="170" t="str">
        <f>IF(A136="","",COUNTIF('Vika 36'!$B$5:$V$20,A136)+
COUNTIF('Vika 37'!$B$5:$V$20,A136)+
COUNTIF('Vika 38'!$B$5:$V$20,A136)+
COUNTIF('Vika 39'!$B$5:$V$20,A136)+
COUNTIF('Vika 40'!$B$5:$V$20,A136)+
COUNTIF('Vika 41'!$B$5:$V$20,A136)+
COUNTIF('Vika 42'!$B$5:$V$20,A136)+
COUNTIF('Vika 43'!$B$5:$V$20,A136)+
COUNTIF('Vika 44'!$B$5:$V$20,A136)+
COUNTIF('Vika 45'!$B$5:$V$20,A136)+
COUNTIF('Vika 46'!$B$5:$V$20,A136)+
COUNTIF('Vika 47'!$B$5:$V$20,A136)+
COUNTIF('Vika 48'!$B$5:$V$20,A136)+
COUNTIF('Vika x5'!$B$5:$V$20,A136))</f>
        <v/>
      </c>
    </row>
    <row r="137" spans="1:29" x14ac:dyDescent="0.2">
      <c r="A137" s="155"/>
      <c r="B137" s="172"/>
      <c r="C137" s="170" t="str">
        <f t="shared" si="37"/>
        <v>-</v>
      </c>
      <c r="D137" s="170" t="str">
        <f t="shared" si="37"/>
        <v>-</v>
      </c>
      <c r="E137" s="170" t="str">
        <f t="shared" si="37"/>
        <v>-</v>
      </c>
      <c r="F137" s="173" t="str">
        <f t="shared" si="37"/>
        <v>-</v>
      </c>
      <c r="G137" s="172" t="str">
        <f t="shared" si="37"/>
        <v>-</v>
      </c>
      <c r="H137" s="170" t="str">
        <f t="shared" si="37"/>
        <v>-</v>
      </c>
      <c r="I137" s="170" t="str">
        <f t="shared" si="37"/>
        <v>-</v>
      </c>
      <c r="J137" s="170" t="str">
        <f t="shared" si="37"/>
        <v>-</v>
      </c>
      <c r="K137" s="173" t="str">
        <f t="shared" si="37"/>
        <v>-</v>
      </c>
      <c r="L137" s="172" t="str">
        <f t="shared" si="37"/>
        <v>-</v>
      </c>
      <c r="M137" s="170" t="str">
        <f t="shared" si="37"/>
        <v>-</v>
      </c>
      <c r="N137" s="170" t="str">
        <f t="shared" si="37"/>
        <v>-</v>
      </c>
      <c r="O137" s="170" t="str">
        <f t="shared" si="37"/>
        <v>-</v>
      </c>
      <c r="P137" s="173" t="str">
        <f t="shared" si="37"/>
        <v>-</v>
      </c>
      <c r="Q137" s="172" t="str">
        <f t="shared" si="37"/>
        <v>-</v>
      </c>
      <c r="R137" s="170" t="str">
        <f t="shared" si="37"/>
        <v>-</v>
      </c>
      <c r="S137" s="170" t="str">
        <f t="shared" si="36"/>
        <v>-</v>
      </c>
      <c r="T137" s="170" t="str">
        <f t="shared" si="36"/>
        <v>-</v>
      </c>
      <c r="U137" s="174" t="str">
        <f t="shared" si="36"/>
        <v>-</v>
      </c>
      <c r="V137" s="175" t="str">
        <f t="shared" si="36"/>
        <v>-</v>
      </c>
      <c r="W137" s="170" t="str">
        <f t="shared" si="36"/>
        <v>-</v>
      </c>
      <c r="X137" s="170" t="str">
        <f t="shared" si="36"/>
        <v>-</v>
      </c>
      <c r="Y137" s="170" t="str">
        <f t="shared" si="36"/>
        <v>-</v>
      </c>
      <c r="Z137" s="170" t="str">
        <f t="shared" si="36"/>
        <v>-</v>
      </c>
      <c r="AA137" s="170" t="str">
        <f t="shared" si="36"/>
        <v>-</v>
      </c>
      <c r="AB137" s="173" t="str">
        <f t="shared" si="36"/>
        <v>-</v>
      </c>
      <c r="AC137" s="170" t="str">
        <f>IF(A137="","",COUNTIF('Vika 36'!$B$5:$V$20,A137)+
COUNTIF('Vika 37'!$B$5:$V$20,A137)+
COUNTIF('Vika 38'!$B$5:$V$20,A137)+
COUNTIF('Vika 39'!$B$5:$V$20,A137)+
COUNTIF('Vika 40'!$B$5:$V$20,A137)+
COUNTIF('Vika 41'!$B$5:$V$20,A137)+
COUNTIF('Vika 42'!$B$5:$V$20,A137)+
COUNTIF('Vika 43'!$B$5:$V$20,A137)+
COUNTIF('Vika 44'!$B$5:$V$20,A137)+
COUNTIF('Vika 45'!$B$5:$V$20,A137)+
COUNTIF('Vika 46'!$B$5:$V$20,A137)+
COUNTIF('Vika 47'!$B$5:$V$20,A137)+
COUNTIF('Vika 48'!$B$5:$V$20,A137)+
COUNTIF('Vika x5'!$B$5:$V$20,A137))</f>
        <v/>
      </c>
    </row>
    <row r="138" spans="1:29" x14ac:dyDescent="0.2">
      <c r="A138" s="155"/>
      <c r="B138" s="172"/>
      <c r="C138" s="170" t="str">
        <f t="shared" si="37"/>
        <v>-</v>
      </c>
      <c r="D138" s="170" t="str">
        <f t="shared" si="37"/>
        <v>-</v>
      </c>
      <c r="E138" s="170" t="str">
        <f t="shared" si="37"/>
        <v>-</v>
      </c>
      <c r="F138" s="173" t="str">
        <f t="shared" si="37"/>
        <v>-</v>
      </c>
      <c r="G138" s="172" t="str">
        <f t="shared" si="37"/>
        <v>-</v>
      </c>
      <c r="H138" s="170" t="str">
        <f t="shared" si="37"/>
        <v>-</v>
      </c>
      <c r="I138" s="170" t="str">
        <f t="shared" si="37"/>
        <v>-</v>
      </c>
      <c r="J138" s="170" t="str">
        <f t="shared" si="37"/>
        <v>-</v>
      </c>
      <c r="K138" s="173" t="str">
        <f t="shared" si="37"/>
        <v>-</v>
      </c>
      <c r="L138" s="172" t="str">
        <f t="shared" si="37"/>
        <v>-</v>
      </c>
      <c r="M138" s="170" t="str">
        <f t="shared" si="37"/>
        <v>-</v>
      </c>
      <c r="N138" s="170" t="str">
        <f t="shared" si="37"/>
        <v>-</v>
      </c>
      <c r="O138" s="170" t="str">
        <f t="shared" si="37"/>
        <v>-</v>
      </c>
      <c r="P138" s="173" t="str">
        <f t="shared" si="37"/>
        <v>-</v>
      </c>
      <c r="Q138" s="172" t="str">
        <f t="shared" si="37"/>
        <v>-</v>
      </c>
      <c r="R138" s="170" t="str">
        <f t="shared" si="37"/>
        <v>-</v>
      </c>
      <c r="S138" s="170" t="str">
        <f t="shared" si="36"/>
        <v>-</v>
      </c>
      <c r="T138" s="170" t="str">
        <f t="shared" si="36"/>
        <v>-</v>
      </c>
      <c r="U138" s="174" t="str">
        <f t="shared" si="36"/>
        <v>-</v>
      </c>
      <c r="V138" s="175" t="str">
        <f t="shared" si="36"/>
        <v>-</v>
      </c>
      <c r="W138" s="170" t="str">
        <f t="shared" si="36"/>
        <v>-</v>
      </c>
      <c r="X138" s="170" t="str">
        <f t="shared" si="36"/>
        <v>-</v>
      </c>
      <c r="Y138" s="170" t="str">
        <f t="shared" si="36"/>
        <v>-</v>
      </c>
      <c r="Z138" s="170" t="str">
        <f t="shared" si="36"/>
        <v>-</v>
      </c>
      <c r="AA138" s="170" t="str">
        <f t="shared" si="36"/>
        <v>-</v>
      </c>
      <c r="AB138" s="173" t="str">
        <f t="shared" si="36"/>
        <v>-</v>
      </c>
      <c r="AC138" s="170" t="str">
        <f>IF(A138="","",COUNTIF('Vika 36'!$B$5:$V$20,A138)+
COUNTIF('Vika 37'!$B$5:$V$20,A138)+
COUNTIF('Vika 38'!$B$5:$V$20,A138)+
COUNTIF('Vika 39'!$B$5:$V$20,A138)+
COUNTIF('Vika 40'!$B$5:$V$20,A138)+
COUNTIF('Vika 41'!$B$5:$V$20,A138)+
COUNTIF('Vika 42'!$B$5:$V$20,A138)+
COUNTIF('Vika 43'!$B$5:$V$20,A138)+
COUNTIF('Vika 44'!$B$5:$V$20,A138)+
COUNTIF('Vika 45'!$B$5:$V$20,A138)+
COUNTIF('Vika 46'!$B$5:$V$20,A138)+
COUNTIF('Vika 47'!$B$5:$V$20,A138)+
COUNTIF('Vika 48'!$B$5:$V$20,A138)+
COUNTIF('Vika x5'!$B$5:$V$20,A138))</f>
        <v/>
      </c>
    </row>
    <row r="139" spans="1:29" x14ac:dyDescent="0.2">
      <c r="A139" s="155"/>
      <c r="B139" s="172"/>
      <c r="C139" s="170" t="str">
        <f t="shared" si="37"/>
        <v>-</v>
      </c>
      <c r="D139" s="170" t="str">
        <f t="shared" si="37"/>
        <v>-</v>
      </c>
      <c r="E139" s="170" t="str">
        <f t="shared" si="37"/>
        <v>-</v>
      </c>
      <c r="F139" s="173" t="str">
        <f t="shared" si="37"/>
        <v>-</v>
      </c>
      <c r="G139" s="172" t="str">
        <f t="shared" si="37"/>
        <v>-</v>
      </c>
      <c r="H139" s="170" t="str">
        <f t="shared" si="37"/>
        <v>-</v>
      </c>
      <c r="I139" s="170" t="str">
        <f t="shared" si="37"/>
        <v>-</v>
      </c>
      <c r="J139" s="170" t="str">
        <f t="shared" si="37"/>
        <v>-</v>
      </c>
      <c r="K139" s="173" t="str">
        <f t="shared" si="37"/>
        <v>-</v>
      </c>
      <c r="L139" s="172" t="str">
        <f t="shared" si="37"/>
        <v>-</v>
      </c>
      <c r="M139" s="170" t="str">
        <f t="shared" si="37"/>
        <v>-</v>
      </c>
      <c r="N139" s="170" t="str">
        <f t="shared" si="37"/>
        <v>-</v>
      </c>
      <c r="O139" s="170" t="str">
        <f t="shared" si="37"/>
        <v>-</v>
      </c>
      <c r="P139" s="173" t="str">
        <f t="shared" si="37"/>
        <v>-</v>
      </c>
      <c r="Q139" s="172" t="str">
        <f t="shared" si="37"/>
        <v>-</v>
      </c>
      <c r="R139" s="170" t="str">
        <f t="shared" si="37"/>
        <v>-</v>
      </c>
      <c r="S139" s="170" t="str">
        <f t="shared" si="36"/>
        <v>-</v>
      </c>
      <c r="T139" s="170" t="str">
        <f t="shared" si="36"/>
        <v>-</v>
      </c>
      <c r="U139" s="174" t="str">
        <f t="shared" si="36"/>
        <v>-</v>
      </c>
      <c r="V139" s="175" t="str">
        <f t="shared" si="36"/>
        <v>-</v>
      </c>
      <c r="W139" s="170" t="str">
        <f t="shared" si="36"/>
        <v>-</v>
      </c>
      <c r="X139" s="170" t="str">
        <f t="shared" si="36"/>
        <v>-</v>
      </c>
      <c r="Y139" s="170" t="str">
        <f t="shared" si="36"/>
        <v>-</v>
      </c>
      <c r="Z139" s="170" t="str">
        <f t="shared" si="36"/>
        <v>-</v>
      </c>
      <c r="AA139" s="170" t="str">
        <f t="shared" si="36"/>
        <v>-</v>
      </c>
      <c r="AB139" s="173" t="str">
        <f t="shared" si="36"/>
        <v>-</v>
      </c>
      <c r="AC139" s="170" t="str">
        <f>IF(A139="","",COUNTIF('Vika 36'!$B$5:$V$20,A139)+
COUNTIF('Vika 37'!$B$5:$V$20,A139)+
COUNTIF('Vika 38'!$B$5:$V$20,A139)+
COUNTIF('Vika 39'!$B$5:$V$20,A139)+
COUNTIF('Vika 40'!$B$5:$V$20,A139)+
COUNTIF('Vika 41'!$B$5:$V$20,A139)+
COUNTIF('Vika 42'!$B$5:$V$20,A139)+
COUNTIF('Vika 43'!$B$5:$V$20,A139)+
COUNTIF('Vika 44'!$B$5:$V$20,A139)+
COUNTIF('Vika 45'!$B$5:$V$20,A139)+
COUNTIF('Vika 46'!$B$5:$V$20,A139)+
COUNTIF('Vika 47'!$B$5:$V$20,A139)+
COUNTIF('Vika 48'!$B$5:$V$20,A139)+
COUNTIF('Vika x5'!$B$5:$V$20,A139))</f>
        <v/>
      </c>
    </row>
    <row r="140" spans="1:29" x14ac:dyDescent="0.2">
      <c r="A140" s="155"/>
      <c r="B140" s="172"/>
      <c r="C140" s="170" t="str">
        <f t="shared" si="37"/>
        <v>-</v>
      </c>
      <c r="D140" s="170" t="str">
        <f t="shared" si="37"/>
        <v>-</v>
      </c>
      <c r="E140" s="170" t="str">
        <f t="shared" si="37"/>
        <v>-</v>
      </c>
      <c r="F140" s="173" t="str">
        <f t="shared" si="37"/>
        <v>-</v>
      </c>
      <c r="G140" s="172" t="str">
        <f t="shared" si="37"/>
        <v>-</v>
      </c>
      <c r="H140" s="170" t="str">
        <f t="shared" si="37"/>
        <v>-</v>
      </c>
      <c r="I140" s="170" t="str">
        <f t="shared" si="37"/>
        <v>-</v>
      </c>
      <c r="J140" s="170" t="str">
        <f t="shared" si="37"/>
        <v>-</v>
      </c>
      <c r="K140" s="173" t="str">
        <f t="shared" si="37"/>
        <v>-</v>
      </c>
      <c r="L140" s="172" t="str">
        <f t="shared" si="37"/>
        <v>-</v>
      </c>
      <c r="M140" s="170" t="str">
        <f t="shared" si="37"/>
        <v>-</v>
      </c>
      <c r="N140" s="170" t="str">
        <f t="shared" si="37"/>
        <v>-</v>
      </c>
      <c r="O140" s="170" t="str">
        <f t="shared" si="37"/>
        <v>-</v>
      </c>
      <c r="P140" s="173" t="str">
        <f t="shared" si="37"/>
        <v>-</v>
      </c>
      <c r="Q140" s="172" t="str">
        <f t="shared" si="37"/>
        <v>-</v>
      </c>
      <c r="R140" s="170" t="str">
        <f t="shared" si="37"/>
        <v>-</v>
      </c>
      <c r="S140" s="170" t="str">
        <f t="shared" si="36"/>
        <v>-</v>
      </c>
      <c r="T140" s="170" t="str">
        <f t="shared" si="36"/>
        <v>-</v>
      </c>
      <c r="U140" s="174" t="str">
        <f t="shared" si="36"/>
        <v>-</v>
      </c>
      <c r="V140" s="175" t="str">
        <f t="shared" si="36"/>
        <v>-</v>
      </c>
      <c r="W140" s="170" t="str">
        <f t="shared" si="36"/>
        <v>-</v>
      </c>
      <c r="X140" s="170" t="str">
        <f t="shared" si="36"/>
        <v>-</v>
      </c>
      <c r="Y140" s="170" t="str">
        <f t="shared" si="36"/>
        <v>-</v>
      </c>
      <c r="Z140" s="170" t="str">
        <f t="shared" si="36"/>
        <v>-</v>
      </c>
      <c r="AA140" s="170" t="str">
        <f t="shared" si="36"/>
        <v>-</v>
      </c>
      <c r="AB140" s="173" t="str">
        <f t="shared" si="36"/>
        <v>-</v>
      </c>
      <c r="AC140" s="170" t="str">
        <f>IF(A140="","",COUNTIF('Vika 36'!$B$5:$V$20,A140)+
COUNTIF('Vika 37'!$B$5:$V$20,A140)+
COUNTIF('Vika 38'!$B$5:$V$20,A140)+
COUNTIF('Vika 39'!$B$5:$V$20,A140)+
COUNTIF('Vika 40'!$B$5:$V$20,A140)+
COUNTIF('Vika 41'!$B$5:$V$20,A140)+
COUNTIF('Vika 42'!$B$5:$V$20,A140)+
COUNTIF('Vika 43'!$B$5:$V$20,A140)+
COUNTIF('Vika 44'!$B$5:$V$20,A140)+
COUNTIF('Vika 45'!$B$5:$V$20,A140)+
COUNTIF('Vika 46'!$B$5:$V$20,A140)+
COUNTIF('Vika 47'!$B$5:$V$20,A140)+
COUNTIF('Vika 48'!$B$5:$V$20,A140)+
COUNTIF('Vika x5'!$B$5:$V$20,A140))</f>
        <v/>
      </c>
    </row>
    <row r="141" spans="1:29" x14ac:dyDescent="0.2">
      <c r="A141" s="155"/>
      <c r="B141" s="172"/>
      <c r="C141" s="170" t="str">
        <f t="shared" si="37"/>
        <v>-</v>
      </c>
      <c r="D141" s="170" t="str">
        <f t="shared" si="37"/>
        <v>-</v>
      </c>
      <c r="E141" s="170" t="str">
        <f t="shared" si="37"/>
        <v>-</v>
      </c>
      <c r="F141" s="173" t="str">
        <f t="shared" si="37"/>
        <v>-</v>
      </c>
      <c r="G141" s="172" t="str">
        <f t="shared" si="37"/>
        <v>-</v>
      </c>
      <c r="H141" s="170" t="str">
        <f t="shared" si="37"/>
        <v>-</v>
      </c>
      <c r="I141" s="170" t="str">
        <f t="shared" si="37"/>
        <v>-</v>
      </c>
      <c r="J141" s="170" t="str">
        <f t="shared" si="37"/>
        <v>-</v>
      </c>
      <c r="K141" s="173" t="str">
        <f t="shared" si="37"/>
        <v>-</v>
      </c>
      <c r="L141" s="172" t="str">
        <f t="shared" si="37"/>
        <v>-</v>
      </c>
      <c r="M141" s="170" t="str">
        <f t="shared" si="37"/>
        <v>-</v>
      </c>
      <c r="N141" s="170" t="str">
        <f t="shared" si="37"/>
        <v>-</v>
      </c>
      <c r="O141" s="170" t="str">
        <f t="shared" si="37"/>
        <v>-</v>
      </c>
      <c r="P141" s="173" t="str">
        <f t="shared" si="37"/>
        <v>-</v>
      </c>
      <c r="Q141" s="172" t="str">
        <f t="shared" si="37"/>
        <v>-</v>
      </c>
      <c r="R141" s="170" t="str">
        <f t="shared" si="37"/>
        <v>-</v>
      </c>
      <c r="S141" s="170" t="str">
        <f t="shared" si="36"/>
        <v>-</v>
      </c>
      <c r="T141" s="170" t="str">
        <f t="shared" si="36"/>
        <v>-</v>
      </c>
      <c r="U141" s="174" t="str">
        <f t="shared" si="36"/>
        <v>-</v>
      </c>
      <c r="V141" s="175" t="str">
        <f t="shared" si="36"/>
        <v>-</v>
      </c>
      <c r="W141" s="170" t="str">
        <f t="shared" ref="S141:AB156" si="38">IF(OR($B141="-",$B141=""),"-",$B141*W$203)</f>
        <v>-</v>
      </c>
      <c r="X141" s="170" t="str">
        <f t="shared" si="38"/>
        <v>-</v>
      </c>
      <c r="Y141" s="170" t="str">
        <f t="shared" si="38"/>
        <v>-</v>
      </c>
      <c r="Z141" s="170" t="str">
        <f t="shared" si="38"/>
        <v>-</v>
      </c>
      <c r="AA141" s="170" t="str">
        <f t="shared" si="38"/>
        <v>-</v>
      </c>
      <c r="AB141" s="173" t="str">
        <f t="shared" si="38"/>
        <v>-</v>
      </c>
      <c r="AC141" s="170" t="str">
        <f>IF(A141="","",COUNTIF('Vika 36'!$B$5:$V$20,A141)+
COUNTIF('Vika 37'!$B$5:$V$20,A141)+
COUNTIF('Vika 38'!$B$5:$V$20,A141)+
COUNTIF('Vika 39'!$B$5:$V$20,A141)+
COUNTIF('Vika 40'!$B$5:$V$20,A141)+
COUNTIF('Vika 41'!$B$5:$V$20,A141)+
COUNTIF('Vika 42'!$B$5:$V$20,A141)+
COUNTIF('Vika 43'!$B$5:$V$20,A141)+
COUNTIF('Vika 44'!$B$5:$V$20,A141)+
COUNTIF('Vika 45'!$B$5:$V$20,A141)+
COUNTIF('Vika 46'!$B$5:$V$20,A141)+
COUNTIF('Vika 47'!$B$5:$V$20,A141)+
COUNTIF('Vika 48'!$B$5:$V$20,A141)+
COUNTIF('Vika x5'!$B$5:$V$20,A141))</f>
        <v/>
      </c>
    </row>
    <row r="142" spans="1:29" x14ac:dyDescent="0.2">
      <c r="A142" s="155"/>
      <c r="B142" s="172"/>
      <c r="C142" s="170" t="str">
        <f t="shared" si="37"/>
        <v>-</v>
      </c>
      <c r="D142" s="170" t="str">
        <f t="shared" si="37"/>
        <v>-</v>
      </c>
      <c r="E142" s="170" t="str">
        <f t="shared" si="37"/>
        <v>-</v>
      </c>
      <c r="F142" s="173" t="str">
        <f t="shared" si="37"/>
        <v>-</v>
      </c>
      <c r="G142" s="172" t="str">
        <f t="shared" si="37"/>
        <v>-</v>
      </c>
      <c r="H142" s="170" t="str">
        <f t="shared" si="37"/>
        <v>-</v>
      </c>
      <c r="I142" s="170" t="str">
        <f t="shared" si="37"/>
        <v>-</v>
      </c>
      <c r="J142" s="170" t="str">
        <f t="shared" si="37"/>
        <v>-</v>
      </c>
      <c r="K142" s="173" t="str">
        <f t="shared" si="37"/>
        <v>-</v>
      </c>
      <c r="L142" s="172" t="str">
        <f t="shared" si="37"/>
        <v>-</v>
      </c>
      <c r="M142" s="170" t="str">
        <f t="shared" si="37"/>
        <v>-</v>
      </c>
      <c r="N142" s="170" t="str">
        <f t="shared" si="37"/>
        <v>-</v>
      </c>
      <c r="O142" s="170" t="str">
        <f t="shared" si="37"/>
        <v>-</v>
      </c>
      <c r="P142" s="173" t="str">
        <f t="shared" si="37"/>
        <v>-</v>
      </c>
      <c r="Q142" s="172" t="str">
        <f t="shared" si="37"/>
        <v>-</v>
      </c>
      <c r="R142" s="170" t="str">
        <f t="shared" si="37"/>
        <v>-</v>
      </c>
      <c r="S142" s="170" t="str">
        <f t="shared" si="38"/>
        <v>-</v>
      </c>
      <c r="T142" s="170" t="str">
        <f t="shared" si="38"/>
        <v>-</v>
      </c>
      <c r="U142" s="174" t="str">
        <f t="shared" si="38"/>
        <v>-</v>
      </c>
      <c r="V142" s="175" t="str">
        <f t="shared" si="38"/>
        <v>-</v>
      </c>
      <c r="W142" s="170" t="str">
        <f t="shared" si="38"/>
        <v>-</v>
      </c>
      <c r="X142" s="170" t="str">
        <f t="shared" si="38"/>
        <v>-</v>
      </c>
      <c r="Y142" s="170" t="str">
        <f t="shared" si="38"/>
        <v>-</v>
      </c>
      <c r="Z142" s="170" t="str">
        <f t="shared" si="38"/>
        <v>-</v>
      </c>
      <c r="AA142" s="170" t="str">
        <f t="shared" si="38"/>
        <v>-</v>
      </c>
      <c r="AB142" s="173" t="str">
        <f t="shared" si="38"/>
        <v>-</v>
      </c>
      <c r="AC142" s="170" t="str">
        <f>IF(A142="","",COUNTIF('Vika 36'!$B$5:$V$20,A142)+
COUNTIF('Vika 37'!$B$5:$V$20,A142)+
COUNTIF('Vika 38'!$B$5:$V$20,A142)+
COUNTIF('Vika 39'!$B$5:$V$20,A142)+
COUNTIF('Vika 40'!$B$5:$V$20,A142)+
COUNTIF('Vika 41'!$B$5:$V$20,A142)+
COUNTIF('Vika 42'!$B$5:$V$20,A142)+
COUNTIF('Vika 43'!$B$5:$V$20,A142)+
COUNTIF('Vika 44'!$B$5:$V$20,A142)+
COUNTIF('Vika 45'!$B$5:$V$20,A142)+
COUNTIF('Vika 46'!$B$5:$V$20,A142)+
COUNTIF('Vika 47'!$B$5:$V$20,A142)+
COUNTIF('Vika 48'!$B$5:$V$20,A142)+
COUNTIF('Vika x5'!$B$5:$V$20,A142))</f>
        <v/>
      </c>
    </row>
    <row r="143" spans="1:29" x14ac:dyDescent="0.2">
      <c r="A143" s="155"/>
      <c r="B143" s="172"/>
      <c r="C143" s="170" t="str">
        <f t="shared" si="37"/>
        <v>-</v>
      </c>
      <c r="D143" s="170" t="str">
        <f t="shared" si="37"/>
        <v>-</v>
      </c>
      <c r="E143" s="170" t="str">
        <f t="shared" si="37"/>
        <v>-</v>
      </c>
      <c r="F143" s="173" t="str">
        <f t="shared" si="37"/>
        <v>-</v>
      </c>
      <c r="G143" s="172" t="str">
        <f t="shared" si="37"/>
        <v>-</v>
      </c>
      <c r="H143" s="170" t="str">
        <f t="shared" si="37"/>
        <v>-</v>
      </c>
      <c r="I143" s="170" t="str">
        <f t="shared" si="37"/>
        <v>-</v>
      </c>
      <c r="J143" s="170" t="str">
        <f t="shared" si="37"/>
        <v>-</v>
      </c>
      <c r="K143" s="173" t="str">
        <f t="shared" si="37"/>
        <v>-</v>
      </c>
      <c r="L143" s="172" t="str">
        <f t="shared" si="37"/>
        <v>-</v>
      </c>
      <c r="M143" s="170" t="str">
        <f t="shared" si="37"/>
        <v>-</v>
      </c>
      <c r="N143" s="170" t="str">
        <f t="shared" si="37"/>
        <v>-</v>
      </c>
      <c r="O143" s="170" t="str">
        <f t="shared" si="37"/>
        <v>-</v>
      </c>
      <c r="P143" s="173" t="str">
        <f t="shared" si="37"/>
        <v>-</v>
      </c>
      <c r="Q143" s="172" t="str">
        <f t="shared" si="37"/>
        <v>-</v>
      </c>
      <c r="R143" s="170" t="str">
        <f t="shared" si="37"/>
        <v>-</v>
      </c>
      <c r="S143" s="170" t="str">
        <f t="shared" si="38"/>
        <v>-</v>
      </c>
      <c r="T143" s="170" t="str">
        <f t="shared" si="38"/>
        <v>-</v>
      </c>
      <c r="U143" s="174" t="str">
        <f t="shared" si="38"/>
        <v>-</v>
      </c>
      <c r="V143" s="175" t="str">
        <f t="shared" si="38"/>
        <v>-</v>
      </c>
      <c r="W143" s="170" t="str">
        <f t="shared" si="38"/>
        <v>-</v>
      </c>
      <c r="X143" s="170" t="str">
        <f t="shared" si="38"/>
        <v>-</v>
      </c>
      <c r="Y143" s="170" t="str">
        <f t="shared" si="38"/>
        <v>-</v>
      </c>
      <c r="Z143" s="170" t="str">
        <f t="shared" si="38"/>
        <v>-</v>
      </c>
      <c r="AA143" s="170" t="str">
        <f t="shared" si="38"/>
        <v>-</v>
      </c>
      <c r="AB143" s="173" t="str">
        <f t="shared" si="38"/>
        <v>-</v>
      </c>
      <c r="AC143" s="170" t="str">
        <f>IF(A143="","",COUNTIF('Vika 36'!$B$5:$V$20,A143)+
COUNTIF('Vika 37'!$B$5:$V$20,A143)+
COUNTIF('Vika 38'!$B$5:$V$20,A143)+
COUNTIF('Vika 39'!$B$5:$V$20,A143)+
COUNTIF('Vika 40'!$B$5:$V$20,A143)+
COUNTIF('Vika 41'!$B$5:$V$20,A143)+
COUNTIF('Vika 42'!$B$5:$V$20,A143)+
COUNTIF('Vika 43'!$B$5:$V$20,A143)+
COUNTIF('Vika 44'!$B$5:$V$20,A143)+
COUNTIF('Vika 45'!$B$5:$V$20,A143)+
COUNTIF('Vika 46'!$B$5:$V$20,A143)+
COUNTIF('Vika 47'!$B$5:$V$20,A143)+
COUNTIF('Vika 48'!$B$5:$V$20,A143)+
COUNTIF('Vika x5'!$B$5:$V$20,A143))</f>
        <v/>
      </c>
    </row>
    <row r="144" spans="1:29" x14ac:dyDescent="0.2">
      <c r="A144" s="155"/>
      <c r="B144" s="172"/>
      <c r="C144" s="170" t="str">
        <f t="shared" si="37"/>
        <v>-</v>
      </c>
      <c r="D144" s="170" t="str">
        <f t="shared" si="37"/>
        <v>-</v>
      </c>
      <c r="E144" s="170" t="str">
        <f t="shared" si="37"/>
        <v>-</v>
      </c>
      <c r="F144" s="173" t="str">
        <f t="shared" si="37"/>
        <v>-</v>
      </c>
      <c r="G144" s="172" t="str">
        <f t="shared" si="37"/>
        <v>-</v>
      </c>
      <c r="H144" s="170" t="str">
        <f t="shared" si="37"/>
        <v>-</v>
      </c>
      <c r="I144" s="170" t="str">
        <f t="shared" si="37"/>
        <v>-</v>
      </c>
      <c r="J144" s="170" t="str">
        <f t="shared" si="37"/>
        <v>-</v>
      </c>
      <c r="K144" s="173" t="str">
        <f t="shared" si="37"/>
        <v>-</v>
      </c>
      <c r="L144" s="172" t="str">
        <f t="shared" si="37"/>
        <v>-</v>
      </c>
      <c r="M144" s="170" t="str">
        <f t="shared" si="37"/>
        <v>-</v>
      </c>
      <c r="N144" s="170" t="str">
        <f t="shared" si="37"/>
        <v>-</v>
      </c>
      <c r="O144" s="170" t="str">
        <f t="shared" ref="C144:R156" si="39">IF(OR($B144="-",$B144=""),"-",$B144*O$203)</f>
        <v>-</v>
      </c>
      <c r="P144" s="173" t="str">
        <f t="shared" si="39"/>
        <v>-</v>
      </c>
      <c r="Q144" s="172" t="str">
        <f t="shared" si="39"/>
        <v>-</v>
      </c>
      <c r="R144" s="170" t="str">
        <f t="shared" si="39"/>
        <v>-</v>
      </c>
      <c r="S144" s="170" t="str">
        <f t="shared" si="38"/>
        <v>-</v>
      </c>
      <c r="T144" s="170" t="str">
        <f t="shared" si="38"/>
        <v>-</v>
      </c>
      <c r="U144" s="174" t="str">
        <f t="shared" si="38"/>
        <v>-</v>
      </c>
      <c r="V144" s="175" t="str">
        <f t="shared" si="38"/>
        <v>-</v>
      </c>
      <c r="W144" s="170" t="str">
        <f t="shared" si="38"/>
        <v>-</v>
      </c>
      <c r="X144" s="170" t="str">
        <f t="shared" si="38"/>
        <v>-</v>
      </c>
      <c r="Y144" s="170" t="str">
        <f t="shared" si="38"/>
        <v>-</v>
      </c>
      <c r="Z144" s="170" t="str">
        <f t="shared" si="38"/>
        <v>-</v>
      </c>
      <c r="AA144" s="170" t="str">
        <f t="shared" si="38"/>
        <v>-</v>
      </c>
      <c r="AB144" s="173" t="str">
        <f t="shared" si="38"/>
        <v>-</v>
      </c>
      <c r="AC144" s="170" t="str">
        <f>IF(A144="","",COUNTIF('Vika 36'!$B$5:$V$20,A144)+
COUNTIF('Vika 37'!$B$5:$V$20,A144)+
COUNTIF('Vika 38'!$B$5:$V$20,A144)+
COUNTIF('Vika 39'!$B$5:$V$20,A144)+
COUNTIF('Vika 40'!$B$5:$V$20,A144)+
COUNTIF('Vika 41'!$B$5:$V$20,A144)+
COUNTIF('Vika 42'!$B$5:$V$20,A144)+
COUNTIF('Vika 43'!$B$5:$V$20,A144)+
COUNTIF('Vika 44'!$B$5:$V$20,A144)+
COUNTIF('Vika 45'!$B$5:$V$20,A144)+
COUNTIF('Vika 46'!$B$5:$V$20,A144)+
COUNTIF('Vika 47'!$B$5:$V$20,A144)+
COUNTIF('Vika 48'!$B$5:$V$20,A144)+
COUNTIF('Vika x5'!$B$5:$V$20,A144))</f>
        <v/>
      </c>
    </row>
    <row r="145" spans="1:29" x14ac:dyDescent="0.2">
      <c r="A145" s="155"/>
      <c r="B145" s="172"/>
      <c r="C145" s="170" t="str">
        <f t="shared" si="39"/>
        <v>-</v>
      </c>
      <c r="D145" s="170" t="str">
        <f t="shared" si="39"/>
        <v>-</v>
      </c>
      <c r="E145" s="170" t="str">
        <f t="shared" si="39"/>
        <v>-</v>
      </c>
      <c r="F145" s="173" t="str">
        <f t="shared" si="39"/>
        <v>-</v>
      </c>
      <c r="G145" s="172" t="str">
        <f t="shared" si="39"/>
        <v>-</v>
      </c>
      <c r="H145" s="170" t="str">
        <f t="shared" si="39"/>
        <v>-</v>
      </c>
      <c r="I145" s="170" t="str">
        <f t="shared" si="39"/>
        <v>-</v>
      </c>
      <c r="J145" s="170" t="str">
        <f t="shared" si="39"/>
        <v>-</v>
      </c>
      <c r="K145" s="173" t="str">
        <f t="shared" si="39"/>
        <v>-</v>
      </c>
      <c r="L145" s="172" t="str">
        <f t="shared" si="39"/>
        <v>-</v>
      </c>
      <c r="M145" s="170" t="str">
        <f t="shared" si="39"/>
        <v>-</v>
      </c>
      <c r="N145" s="170" t="str">
        <f t="shared" si="39"/>
        <v>-</v>
      </c>
      <c r="O145" s="170" t="str">
        <f t="shared" si="39"/>
        <v>-</v>
      </c>
      <c r="P145" s="173" t="str">
        <f t="shared" si="39"/>
        <v>-</v>
      </c>
      <c r="Q145" s="172" t="str">
        <f t="shared" si="39"/>
        <v>-</v>
      </c>
      <c r="R145" s="170" t="str">
        <f t="shared" si="39"/>
        <v>-</v>
      </c>
      <c r="S145" s="170" t="str">
        <f t="shared" si="38"/>
        <v>-</v>
      </c>
      <c r="T145" s="170" t="str">
        <f t="shared" si="38"/>
        <v>-</v>
      </c>
      <c r="U145" s="174" t="str">
        <f t="shared" si="38"/>
        <v>-</v>
      </c>
      <c r="V145" s="175" t="str">
        <f t="shared" si="38"/>
        <v>-</v>
      </c>
      <c r="W145" s="170" t="str">
        <f t="shared" si="38"/>
        <v>-</v>
      </c>
      <c r="X145" s="170" t="str">
        <f t="shared" si="38"/>
        <v>-</v>
      </c>
      <c r="Y145" s="170" t="str">
        <f t="shared" si="38"/>
        <v>-</v>
      </c>
      <c r="Z145" s="170" t="str">
        <f t="shared" si="38"/>
        <v>-</v>
      </c>
      <c r="AA145" s="170" t="str">
        <f t="shared" si="38"/>
        <v>-</v>
      </c>
      <c r="AB145" s="173" t="str">
        <f t="shared" si="38"/>
        <v>-</v>
      </c>
      <c r="AC145" s="170" t="str">
        <f>IF(A145="","",COUNTIF('Vika 36'!$B$5:$V$20,A145)+
COUNTIF('Vika 37'!$B$5:$V$20,A145)+
COUNTIF('Vika 38'!$B$5:$V$20,A145)+
COUNTIF('Vika 39'!$B$5:$V$20,A145)+
COUNTIF('Vika 40'!$B$5:$V$20,A145)+
COUNTIF('Vika 41'!$B$5:$V$20,A145)+
COUNTIF('Vika 42'!$B$5:$V$20,A145)+
COUNTIF('Vika 43'!$B$5:$V$20,A145)+
COUNTIF('Vika 44'!$B$5:$V$20,A145)+
COUNTIF('Vika 45'!$B$5:$V$20,A145)+
COUNTIF('Vika 46'!$B$5:$V$20,A145)+
COUNTIF('Vika 47'!$B$5:$V$20,A145)+
COUNTIF('Vika 48'!$B$5:$V$20,A145)+
COUNTIF('Vika x5'!$B$5:$V$20,A145))</f>
        <v/>
      </c>
    </row>
    <row r="146" spans="1:29" x14ac:dyDescent="0.2">
      <c r="A146" s="155"/>
      <c r="B146" s="172"/>
      <c r="C146" s="170" t="str">
        <f t="shared" si="39"/>
        <v>-</v>
      </c>
      <c r="D146" s="170" t="str">
        <f t="shared" si="39"/>
        <v>-</v>
      </c>
      <c r="E146" s="170" t="str">
        <f t="shared" si="39"/>
        <v>-</v>
      </c>
      <c r="F146" s="173" t="str">
        <f t="shared" si="39"/>
        <v>-</v>
      </c>
      <c r="G146" s="172" t="str">
        <f t="shared" si="39"/>
        <v>-</v>
      </c>
      <c r="H146" s="170" t="str">
        <f t="shared" si="39"/>
        <v>-</v>
      </c>
      <c r="I146" s="170" t="str">
        <f t="shared" si="39"/>
        <v>-</v>
      </c>
      <c r="J146" s="170" t="str">
        <f t="shared" si="39"/>
        <v>-</v>
      </c>
      <c r="K146" s="173" t="str">
        <f t="shared" si="39"/>
        <v>-</v>
      </c>
      <c r="L146" s="172" t="str">
        <f t="shared" si="39"/>
        <v>-</v>
      </c>
      <c r="M146" s="170" t="str">
        <f t="shared" si="39"/>
        <v>-</v>
      </c>
      <c r="N146" s="170" t="str">
        <f t="shared" si="39"/>
        <v>-</v>
      </c>
      <c r="O146" s="170" t="str">
        <f t="shared" si="39"/>
        <v>-</v>
      </c>
      <c r="P146" s="173" t="str">
        <f t="shared" si="39"/>
        <v>-</v>
      </c>
      <c r="Q146" s="172" t="str">
        <f t="shared" si="39"/>
        <v>-</v>
      </c>
      <c r="R146" s="170" t="str">
        <f t="shared" si="39"/>
        <v>-</v>
      </c>
      <c r="S146" s="170" t="str">
        <f t="shared" si="38"/>
        <v>-</v>
      </c>
      <c r="T146" s="170" t="str">
        <f t="shared" si="38"/>
        <v>-</v>
      </c>
      <c r="U146" s="174" t="str">
        <f t="shared" si="38"/>
        <v>-</v>
      </c>
      <c r="V146" s="175" t="str">
        <f t="shared" si="38"/>
        <v>-</v>
      </c>
      <c r="W146" s="170" t="str">
        <f t="shared" si="38"/>
        <v>-</v>
      </c>
      <c r="X146" s="170" t="str">
        <f t="shared" si="38"/>
        <v>-</v>
      </c>
      <c r="Y146" s="170" t="str">
        <f t="shared" si="38"/>
        <v>-</v>
      </c>
      <c r="Z146" s="170" t="str">
        <f t="shared" si="38"/>
        <v>-</v>
      </c>
      <c r="AA146" s="170" t="str">
        <f t="shared" si="38"/>
        <v>-</v>
      </c>
      <c r="AB146" s="173" t="str">
        <f t="shared" si="38"/>
        <v>-</v>
      </c>
      <c r="AC146" s="170" t="str">
        <f>IF(A146="","",COUNTIF('Vika 36'!$B$5:$V$20,A146)+
COUNTIF('Vika 37'!$B$5:$V$20,A146)+
COUNTIF('Vika 38'!$B$5:$V$20,A146)+
COUNTIF('Vika 39'!$B$5:$V$20,A146)+
COUNTIF('Vika 40'!$B$5:$V$20,A146)+
COUNTIF('Vika 41'!$B$5:$V$20,A146)+
COUNTIF('Vika 42'!$B$5:$V$20,A146)+
COUNTIF('Vika 43'!$B$5:$V$20,A146)+
COUNTIF('Vika 44'!$B$5:$V$20,A146)+
COUNTIF('Vika 45'!$B$5:$V$20,A146)+
COUNTIF('Vika 46'!$B$5:$V$20,A146)+
COUNTIF('Vika 47'!$B$5:$V$20,A146)+
COUNTIF('Vika 48'!$B$5:$V$20,A146)+
COUNTIF('Vika x5'!$B$5:$V$20,A146))</f>
        <v/>
      </c>
    </row>
    <row r="147" spans="1:29" x14ac:dyDescent="0.2">
      <c r="A147" s="155"/>
      <c r="B147" s="172"/>
      <c r="C147" s="170" t="str">
        <f t="shared" si="39"/>
        <v>-</v>
      </c>
      <c r="D147" s="170" t="str">
        <f t="shared" si="39"/>
        <v>-</v>
      </c>
      <c r="E147" s="170" t="str">
        <f t="shared" si="39"/>
        <v>-</v>
      </c>
      <c r="F147" s="173" t="str">
        <f t="shared" si="39"/>
        <v>-</v>
      </c>
      <c r="G147" s="172" t="str">
        <f t="shared" si="39"/>
        <v>-</v>
      </c>
      <c r="H147" s="170" t="str">
        <f t="shared" si="39"/>
        <v>-</v>
      </c>
      <c r="I147" s="170" t="str">
        <f t="shared" si="39"/>
        <v>-</v>
      </c>
      <c r="J147" s="170" t="str">
        <f t="shared" si="39"/>
        <v>-</v>
      </c>
      <c r="K147" s="173" t="str">
        <f t="shared" si="39"/>
        <v>-</v>
      </c>
      <c r="L147" s="172" t="str">
        <f t="shared" si="39"/>
        <v>-</v>
      </c>
      <c r="M147" s="170" t="str">
        <f t="shared" si="39"/>
        <v>-</v>
      </c>
      <c r="N147" s="170" t="str">
        <f t="shared" si="39"/>
        <v>-</v>
      </c>
      <c r="O147" s="170" t="str">
        <f t="shared" si="39"/>
        <v>-</v>
      </c>
      <c r="P147" s="173" t="str">
        <f t="shared" si="39"/>
        <v>-</v>
      </c>
      <c r="Q147" s="172" t="str">
        <f t="shared" si="39"/>
        <v>-</v>
      </c>
      <c r="R147" s="170" t="str">
        <f t="shared" si="39"/>
        <v>-</v>
      </c>
      <c r="S147" s="170" t="str">
        <f t="shared" si="38"/>
        <v>-</v>
      </c>
      <c r="T147" s="170" t="str">
        <f t="shared" si="38"/>
        <v>-</v>
      </c>
      <c r="U147" s="174" t="str">
        <f t="shared" si="38"/>
        <v>-</v>
      </c>
      <c r="V147" s="175" t="str">
        <f t="shared" si="38"/>
        <v>-</v>
      </c>
      <c r="W147" s="170" t="str">
        <f t="shared" si="38"/>
        <v>-</v>
      </c>
      <c r="X147" s="170" t="str">
        <f t="shared" si="38"/>
        <v>-</v>
      </c>
      <c r="Y147" s="170" t="str">
        <f t="shared" si="38"/>
        <v>-</v>
      </c>
      <c r="Z147" s="170" t="str">
        <f t="shared" si="38"/>
        <v>-</v>
      </c>
      <c r="AA147" s="170" t="str">
        <f t="shared" si="38"/>
        <v>-</v>
      </c>
      <c r="AB147" s="173" t="str">
        <f t="shared" si="38"/>
        <v>-</v>
      </c>
      <c r="AC147" s="170" t="str">
        <f>IF(A147="","",COUNTIF('Vika 36'!$B$5:$V$20,A147)+
COUNTIF('Vika 37'!$B$5:$V$20,A147)+
COUNTIF('Vika 38'!$B$5:$V$20,A147)+
COUNTIF('Vika 39'!$B$5:$V$20,A147)+
COUNTIF('Vika 40'!$B$5:$V$20,A147)+
COUNTIF('Vika 41'!$B$5:$V$20,A147)+
COUNTIF('Vika 42'!$B$5:$V$20,A147)+
COUNTIF('Vika 43'!$B$5:$V$20,A147)+
COUNTIF('Vika 44'!$B$5:$V$20,A147)+
COUNTIF('Vika 45'!$B$5:$V$20,A147)+
COUNTIF('Vika 46'!$B$5:$V$20,A147)+
COUNTIF('Vika 47'!$B$5:$V$20,A147)+
COUNTIF('Vika 48'!$B$5:$V$20,A147)+
COUNTIF('Vika x5'!$B$5:$V$20,A147))</f>
        <v/>
      </c>
    </row>
    <row r="148" spans="1:29" x14ac:dyDescent="0.2">
      <c r="A148" s="155"/>
      <c r="B148" s="172"/>
      <c r="C148" s="170" t="str">
        <f t="shared" si="39"/>
        <v>-</v>
      </c>
      <c r="D148" s="170" t="str">
        <f t="shared" si="39"/>
        <v>-</v>
      </c>
      <c r="E148" s="170" t="str">
        <f t="shared" si="39"/>
        <v>-</v>
      </c>
      <c r="F148" s="173" t="str">
        <f t="shared" si="39"/>
        <v>-</v>
      </c>
      <c r="G148" s="172" t="str">
        <f t="shared" si="39"/>
        <v>-</v>
      </c>
      <c r="H148" s="170" t="str">
        <f t="shared" si="39"/>
        <v>-</v>
      </c>
      <c r="I148" s="170" t="str">
        <f t="shared" si="39"/>
        <v>-</v>
      </c>
      <c r="J148" s="170" t="str">
        <f t="shared" si="39"/>
        <v>-</v>
      </c>
      <c r="K148" s="173" t="str">
        <f t="shared" si="39"/>
        <v>-</v>
      </c>
      <c r="L148" s="172" t="str">
        <f t="shared" si="39"/>
        <v>-</v>
      </c>
      <c r="M148" s="170" t="str">
        <f t="shared" si="39"/>
        <v>-</v>
      </c>
      <c r="N148" s="170" t="str">
        <f t="shared" si="39"/>
        <v>-</v>
      </c>
      <c r="O148" s="170" t="str">
        <f t="shared" si="39"/>
        <v>-</v>
      </c>
      <c r="P148" s="173" t="str">
        <f t="shared" si="39"/>
        <v>-</v>
      </c>
      <c r="Q148" s="172" t="str">
        <f t="shared" si="39"/>
        <v>-</v>
      </c>
      <c r="R148" s="170" t="str">
        <f t="shared" si="39"/>
        <v>-</v>
      </c>
      <c r="S148" s="170" t="str">
        <f t="shared" si="38"/>
        <v>-</v>
      </c>
      <c r="T148" s="170" t="str">
        <f t="shared" si="38"/>
        <v>-</v>
      </c>
      <c r="U148" s="174" t="str">
        <f t="shared" si="38"/>
        <v>-</v>
      </c>
      <c r="V148" s="175" t="str">
        <f t="shared" si="38"/>
        <v>-</v>
      </c>
      <c r="W148" s="170" t="str">
        <f t="shared" si="38"/>
        <v>-</v>
      </c>
      <c r="X148" s="170" t="str">
        <f t="shared" si="38"/>
        <v>-</v>
      </c>
      <c r="Y148" s="170" t="str">
        <f t="shared" si="38"/>
        <v>-</v>
      </c>
      <c r="Z148" s="170" t="str">
        <f t="shared" si="38"/>
        <v>-</v>
      </c>
      <c r="AA148" s="170" t="str">
        <f t="shared" si="38"/>
        <v>-</v>
      </c>
      <c r="AB148" s="173" t="str">
        <f t="shared" si="38"/>
        <v>-</v>
      </c>
      <c r="AC148" s="170" t="str">
        <f>IF(A148="","",COUNTIF('Vika 36'!$B$5:$V$20,A148)+
COUNTIF('Vika 37'!$B$5:$V$20,A148)+
COUNTIF('Vika 38'!$B$5:$V$20,A148)+
COUNTIF('Vika 39'!$B$5:$V$20,A148)+
COUNTIF('Vika 40'!$B$5:$V$20,A148)+
COUNTIF('Vika 41'!$B$5:$V$20,A148)+
COUNTIF('Vika 42'!$B$5:$V$20,A148)+
COUNTIF('Vika 43'!$B$5:$V$20,A148)+
COUNTIF('Vika 44'!$B$5:$V$20,A148)+
COUNTIF('Vika 45'!$B$5:$V$20,A148)+
COUNTIF('Vika 46'!$B$5:$V$20,A148)+
COUNTIF('Vika 47'!$B$5:$V$20,A148)+
COUNTIF('Vika 48'!$B$5:$V$20,A148)+
COUNTIF('Vika x5'!$B$5:$V$20,A148))</f>
        <v/>
      </c>
    </row>
    <row r="149" spans="1:29" x14ac:dyDescent="0.2">
      <c r="A149" s="155"/>
      <c r="B149" s="172"/>
      <c r="C149" s="170" t="str">
        <f t="shared" si="39"/>
        <v>-</v>
      </c>
      <c r="D149" s="170" t="str">
        <f t="shared" si="39"/>
        <v>-</v>
      </c>
      <c r="E149" s="170" t="str">
        <f t="shared" si="39"/>
        <v>-</v>
      </c>
      <c r="F149" s="173" t="str">
        <f t="shared" si="39"/>
        <v>-</v>
      </c>
      <c r="G149" s="172" t="str">
        <f t="shared" si="39"/>
        <v>-</v>
      </c>
      <c r="H149" s="170" t="str">
        <f t="shared" si="39"/>
        <v>-</v>
      </c>
      <c r="I149" s="170" t="str">
        <f t="shared" si="39"/>
        <v>-</v>
      </c>
      <c r="J149" s="170" t="str">
        <f t="shared" si="39"/>
        <v>-</v>
      </c>
      <c r="K149" s="173" t="str">
        <f t="shared" si="39"/>
        <v>-</v>
      </c>
      <c r="L149" s="172" t="str">
        <f t="shared" si="39"/>
        <v>-</v>
      </c>
      <c r="M149" s="170" t="str">
        <f t="shared" si="39"/>
        <v>-</v>
      </c>
      <c r="N149" s="170" t="str">
        <f t="shared" si="39"/>
        <v>-</v>
      </c>
      <c r="O149" s="170" t="str">
        <f t="shared" si="39"/>
        <v>-</v>
      </c>
      <c r="P149" s="173" t="str">
        <f t="shared" si="39"/>
        <v>-</v>
      </c>
      <c r="Q149" s="172" t="str">
        <f t="shared" si="39"/>
        <v>-</v>
      </c>
      <c r="R149" s="170" t="str">
        <f t="shared" si="39"/>
        <v>-</v>
      </c>
      <c r="S149" s="170" t="str">
        <f t="shared" si="38"/>
        <v>-</v>
      </c>
      <c r="T149" s="170" t="str">
        <f t="shared" si="38"/>
        <v>-</v>
      </c>
      <c r="U149" s="174" t="str">
        <f t="shared" si="38"/>
        <v>-</v>
      </c>
      <c r="V149" s="175" t="str">
        <f t="shared" si="38"/>
        <v>-</v>
      </c>
      <c r="W149" s="170" t="str">
        <f t="shared" si="38"/>
        <v>-</v>
      </c>
      <c r="X149" s="170" t="str">
        <f t="shared" si="38"/>
        <v>-</v>
      </c>
      <c r="Y149" s="170" t="str">
        <f t="shared" si="38"/>
        <v>-</v>
      </c>
      <c r="Z149" s="170" t="str">
        <f t="shared" si="38"/>
        <v>-</v>
      </c>
      <c r="AA149" s="170" t="str">
        <f t="shared" si="38"/>
        <v>-</v>
      </c>
      <c r="AB149" s="173" t="str">
        <f t="shared" si="38"/>
        <v>-</v>
      </c>
      <c r="AC149" s="170" t="str">
        <f>IF(A149="","",COUNTIF('Vika 36'!$B$5:$V$20,A149)+
COUNTIF('Vika 37'!$B$5:$V$20,A149)+
COUNTIF('Vika 38'!$B$5:$V$20,A149)+
COUNTIF('Vika 39'!$B$5:$V$20,A149)+
COUNTIF('Vika 40'!$B$5:$V$20,A149)+
COUNTIF('Vika 41'!$B$5:$V$20,A149)+
COUNTIF('Vika 42'!$B$5:$V$20,A149)+
COUNTIF('Vika 43'!$B$5:$V$20,A149)+
COUNTIF('Vika 44'!$B$5:$V$20,A149)+
COUNTIF('Vika 45'!$B$5:$V$20,A149)+
COUNTIF('Vika 46'!$B$5:$V$20,A149)+
COUNTIF('Vika 47'!$B$5:$V$20,A149)+
COUNTIF('Vika 48'!$B$5:$V$20,A149)+
COUNTIF('Vika x5'!$B$5:$V$20,A149))</f>
        <v/>
      </c>
    </row>
    <row r="150" spans="1:29" x14ac:dyDescent="0.2">
      <c r="A150" s="155"/>
      <c r="B150" s="172"/>
      <c r="C150" s="170" t="str">
        <f t="shared" si="39"/>
        <v>-</v>
      </c>
      <c r="D150" s="170" t="str">
        <f t="shared" si="39"/>
        <v>-</v>
      </c>
      <c r="E150" s="170" t="str">
        <f t="shared" si="39"/>
        <v>-</v>
      </c>
      <c r="F150" s="173" t="str">
        <f t="shared" si="39"/>
        <v>-</v>
      </c>
      <c r="G150" s="172" t="str">
        <f t="shared" si="39"/>
        <v>-</v>
      </c>
      <c r="H150" s="170" t="str">
        <f t="shared" si="39"/>
        <v>-</v>
      </c>
      <c r="I150" s="170" t="str">
        <f t="shared" si="39"/>
        <v>-</v>
      </c>
      <c r="J150" s="170" t="str">
        <f t="shared" si="39"/>
        <v>-</v>
      </c>
      <c r="K150" s="173" t="str">
        <f t="shared" si="39"/>
        <v>-</v>
      </c>
      <c r="L150" s="172" t="str">
        <f t="shared" si="39"/>
        <v>-</v>
      </c>
      <c r="M150" s="170" t="str">
        <f t="shared" si="39"/>
        <v>-</v>
      </c>
      <c r="N150" s="170" t="str">
        <f t="shared" si="39"/>
        <v>-</v>
      </c>
      <c r="O150" s="170" t="str">
        <f t="shared" si="39"/>
        <v>-</v>
      </c>
      <c r="P150" s="173" t="str">
        <f t="shared" si="39"/>
        <v>-</v>
      </c>
      <c r="Q150" s="172" t="str">
        <f t="shared" si="39"/>
        <v>-</v>
      </c>
      <c r="R150" s="170" t="str">
        <f t="shared" si="39"/>
        <v>-</v>
      </c>
      <c r="S150" s="170" t="str">
        <f t="shared" si="38"/>
        <v>-</v>
      </c>
      <c r="T150" s="170" t="str">
        <f t="shared" si="38"/>
        <v>-</v>
      </c>
      <c r="U150" s="174" t="str">
        <f t="shared" si="38"/>
        <v>-</v>
      </c>
      <c r="V150" s="175" t="str">
        <f t="shared" si="38"/>
        <v>-</v>
      </c>
      <c r="W150" s="170" t="str">
        <f t="shared" si="38"/>
        <v>-</v>
      </c>
      <c r="X150" s="170" t="str">
        <f t="shared" si="38"/>
        <v>-</v>
      </c>
      <c r="Y150" s="170" t="str">
        <f t="shared" si="38"/>
        <v>-</v>
      </c>
      <c r="Z150" s="170" t="str">
        <f t="shared" si="38"/>
        <v>-</v>
      </c>
      <c r="AA150" s="170" t="str">
        <f t="shared" si="38"/>
        <v>-</v>
      </c>
      <c r="AB150" s="173" t="str">
        <f t="shared" si="38"/>
        <v>-</v>
      </c>
      <c r="AC150" s="170" t="str">
        <f>IF(A150="","",COUNTIF('Vika 36'!$B$5:$V$20,A150)+
COUNTIF('Vika 37'!$B$5:$V$20,A150)+
COUNTIF('Vika 38'!$B$5:$V$20,A150)+
COUNTIF('Vika 39'!$B$5:$V$20,A150)+
COUNTIF('Vika 40'!$B$5:$V$20,A150)+
COUNTIF('Vika 41'!$B$5:$V$20,A150)+
COUNTIF('Vika 42'!$B$5:$V$20,A150)+
COUNTIF('Vika 43'!$B$5:$V$20,A150)+
COUNTIF('Vika 44'!$B$5:$V$20,A150)+
COUNTIF('Vika 45'!$B$5:$V$20,A150)+
COUNTIF('Vika 46'!$B$5:$V$20,A150)+
COUNTIF('Vika 47'!$B$5:$V$20,A150)+
COUNTIF('Vika 48'!$B$5:$V$20,A150)+
COUNTIF('Vika x5'!$B$5:$V$20,A150))</f>
        <v/>
      </c>
    </row>
    <row r="151" spans="1:29" x14ac:dyDescent="0.2">
      <c r="A151" s="155"/>
      <c r="B151" s="172"/>
      <c r="C151" s="170" t="str">
        <f t="shared" si="39"/>
        <v>-</v>
      </c>
      <c r="D151" s="170" t="str">
        <f t="shared" si="39"/>
        <v>-</v>
      </c>
      <c r="E151" s="170" t="str">
        <f t="shared" si="39"/>
        <v>-</v>
      </c>
      <c r="F151" s="173" t="str">
        <f t="shared" si="39"/>
        <v>-</v>
      </c>
      <c r="G151" s="172" t="str">
        <f t="shared" si="39"/>
        <v>-</v>
      </c>
      <c r="H151" s="170" t="str">
        <f t="shared" si="39"/>
        <v>-</v>
      </c>
      <c r="I151" s="170" t="str">
        <f t="shared" si="39"/>
        <v>-</v>
      </c>
      <c r="J151" s="170" t="str">
        <f t="shared" si="39"/>
        <v>-</v>
      </c>
      <c r="K151" s="173" t="str">
        <f t="shared" si="39"/>
        <v>-</v>
      </c>
      <c r="L151" s="172" t="str">
        <f t="shared" si="39"/>
        <v>-</v>
      </c>
      <c r="M151" s="170" t="str">
        <f t="shared" si="39"/>
        <v>-</v>
      </c>
      <c r="N151" s="170" t="str">
        <f t="shared" si="39"/>
        <v>-</v>
      </c>
      <c r="O151" s="170" t="str">
        <f t="shared" si="39"/>
        <v>-</v>
      </c>
      <c r="P151" s="173" t="str">
        <f t="shared" si="39"/>
        <v>-</v>
      </c>
      <c r="Q151" s="172" t="str">
        <f t="shared" si="39"/>
        <v>-</v>
      </c>
      <c r="R151" s="170" t="str">
        <f t="shared" si="39"/>
        <v>-</v>
      </c>
      <c r="S151" s="170" t="str">
        <f t="shared" si="38"/>
        <v>-</v>
      </c>
      <c r="T151" s="170" t="str">
        <f t="shared" si="38"/>
        <v>-</v>
      </c>
      <c r="U151" s="174" t="str">
        <f t="shared" si="38"/>
        <v>-</v>
      </c>
      <c r="V151" s="175" t="str">
        <f t="shared" si="38"/>
        <v>-</v>
      </c>
      <c r="W151" s="170" t="str">
        <f t="shared" si="38"/>
        <v>-</v>
      </c>
      <c r="X151" s="170" t="str">
        <f t="shared" si="38"/>
        <v>-</v>
      </c>
      <c r="Y151" s="170" t="str">
        <f t="shared" si="38"/>
        <v>-</v>
      </c>
      <c r="Z151" s="170" t="str">
        <f t="shared" si="38"/>
        <v>-</v>
      </c>
      <c r="AA151" s="170" t="str">
        <f t="shared" si="38"/>
        <v>-</v>
      </c>
      <c r="AB151" s="173" t="str">
        <f t="shared" si="38"/>
        <v>-</v>
      </c>
      <c r="AC151" s="170" t="str">
        <f>IF(A151="","",COUNTIF('Vika 36'!$B$5:$V$20,A151)+
COUNTIF('Vika 37'!$B$5:$V$20,A151)+
COUNTIF('Vika 38'!$B$5:$V$20,A151)+
COUNTIF('Vika 39'!$B$5:$V$20,A151)+
COUNTIF('Vika 40'!$B$5:$V$20,A151)+
COUNTIF('Vika 41'!$B$5:$V$20,A151)+
COUNTIF('Vika 42'!$B$5:$V$20,A151)+
COUNTIF('Vika 43'!$B$5:$V$20,A151)+
COUNTIF('Vika 44'!$B$5:$V$20,A151)+
COUNTIF('Vika 45'!$B$5:$V$20,A151)+
COUNTIF('Vika 46'!$B$5:$V$20,A151)+
COUNTIF('Vika 47'!$B$5:$V$20,A151)+
COUNTIF('Vika 48'!$B$5:$V$20,A151)+
COUNTIF('Vika x5'!$B$5:$V$20,A151))</f>
        <v/>
      </c>
    </row>
    <row r="152" spans="1:29" x14ac:dyDescent="0.2">
      <c r="A152" s="155"/>
      <c r="B152" s="172"/>
      <c r="C152" s="170" t="str">
        <f t="shared" si="39"/>
        <v>-</v>
      </c>
      <c r="D152" s="170" t="str">
        <f t="shared" si="39"/>
        <v>-</v>
      </c>
      <c r="E152" s="170" t="str">
        <f t="shared" si="39"/>
        <v>-</v>
      </c>
      <c r="F152" s="173" t="str">
        <f t="shared" si="39"/>
        <v>-</v>
      </c>
      <c r="G152" s="172" t="str">
        <f t="shared" si="39"/>
        <v>-</v>
      </c>
      <c r="H152" s="170" t="str">
        <f t="shared" si="39"/>
        <v>-</v>
      </c>
      <c r="I152" s="170" t="str">
        <f t="shared" si="39"/>
        <v>-</v>
      </c>
      <c r="J152" s="170" t="str">
        <f t="shared" si="39"/>
        <v>-</v>
      </c>
      <c r="K152" s="173" t="str">
        <f t="shared" si="39"/>
        <v>-</v>
      </c>
      <c r="L152" s="172" t="str">
        <f t="shared" si="39"/>
        <v>-</v>
      </c>
      <c r="M152" s="170" t="str">
        <f t="shared" si="39"/>
        <v>-</v>
      </c>
      <c r="N152" s="170" t="str">
        <f t="shared" si="39"/>
        <v>-</v>
      </c>
      <c r="O152" s="170" t="str">
        <f t="shared" si="39"/>
        <v>-</v>
      </c>
      <c r="P152" s="173" t="str">
        <f t="shared" si="39"/>
        <v>-</v>
      </c>
      <c r="Q152" s="172" t="str">
        <f t="shared" si="39"/>
        <v>-</v>
      </c>
      <c r="R152" s="170" t="str">
        <f t="shared" si="39"/>
        <v>-</v>
      </c>
      <c r="S152" s="170" t="str">
        <f t="shared" si="38"/>
        <v>-</v>
      </c>
      <c r="T152" s="170" t="str">
        <f t="shared" si="38"/>
        <v>-</v>
      </c>
      <c r="U152" s="174" t="str">
        <f t="shared" si="38"/>
        <v>-</v>
      </c>
      <c r="V152" s="175" t="str">
        <f t="shared" si="38"/>
        <v>-</v>
      </c>
      <c r="W152" s="170" t="str">
        <f t="shared" si="38"/>
        <v>-</v>
      </c>
      <c r="X152" s="170" t="str">
        <f t="shared" si="38"/>
        <v>-</v>
      </c>
      <c r="Y152" s="170" t="str">
        <f t="shared" si="38"/>
        <v>-</v>
      </c>
      <c r="Z152" s="170" t="str">
        <f t="shared" si="38"/>
        <v>-</v>
      </c>
      <c r="AA152" s="170" t="str">
        <f t="shared" si="38"/>
        <v>-</v>
      </c>
      <c r="AB152" s="173" t="str">
        <f t="shared" si="38"/>
        <v>-</v>
      </c>
      <c r="AC152" s="170" t="str">
        <f>IF(A152="","",COUNTIF('Vika 36'!$B$5:$V$20,A152)+
COUNTIF('Vika 37'!$B$5:$V$20,A152)+
COUNTIF('Vika 38'!$B$5:$V$20,A152)+
COUNTIF('Vika 39'!$B$5:$V$20,A152)+
COUNTIF('Vika 40'!$B$5:$V$20,A152)+
COUNTIF('Vika 41'!$B$5:$V$20,A152)+
COUNTIF('Vika 42'!$B$5:$V$20,A152)+
COUNTIF('Vika 43'!$B$5:$V$20,A152)+
COUNTIF('Vika 44'!$B$5:$V$20,A152)+
COUNTIF('Vika 45'!$B$5:$V$20,A152)+
COUNTIF('Vika 46'!$B$5:$V$20,A152)+
COUNTIF('Vika 47'!$B$5:$V$20,A152)+
COUNTIF('Vika 48'!$B$5:$V$20,A152)+
COUNTIF('Vika x5'!$B$5:$V$20,A152))</f>
        <v/>
      </c>
    </row>
    <row r="153" spans="1:29" x14ac:dyDescent="0.2">
      <c r="A153" s="155"/>
      <c r="B153" s="172"/>
      <c r="C153" s="170" t="str">
        <f t="shared" si="39"/>
        <v>-</v>
      </c>
      <c r="D153" s="170" t="str">
        <f t="shared" si="39"/>
        <v>-</v>
      </c>
      <c r="E153" s="170" t="str">
        <f t="shared" si="39"/>
        <v>-</v>
      </c>
      <c r="F153" s="173" t="str">
        <f t="shared" si="39"/>
        <v>-</v>
      </c>
      <c r="G153" s="172" t="str">
        <f t="shared" si="39"/>
        <v>-</v>
      </c>
      <c r="H153" s="170" t="str">
        <f t="shared" si="39"/>
        <v>-</v>
      </c>
      <c r="I153" s="170" t="str">
        <f t="shared" si="39"/>
        <v>-</v>
      </c>
      <c r="J153" s="170" t="str">
        <f t="shared" si="39"/>
        <v>-</v>
      </c>
      <c r="K153" s="173" t="str">
        <f t="shared" si="39"/>
        <v>-</v>
      </c>
      <c r="L153" s="172" t="str">
        <f t="shared" si="39"/>
        <v>-</v>
      </c>
      <c r="M153" s="170" t="str">
        <f t="shared" si="39"/>
        <v>-</v>
      </c>
      <c r="N153" s="170" t="str">
        <f t="shared" si="39"/>
        <v>-</v>
      </c>
      <c r="O153" s="170" t="str">
        <f t="shared" si="39"/>
        <v>-</v>
      </c>
      <c r="P153" s="173" t="str">
        <f t="shared" si="39"/>
        <v>-</v>
      </c>
      <c r="Q153" s="172" t="str">
        <f t="shared" si="39"/>
        <v>-</v>
      </c>
      <c r="R153" s="170" t="str">
        <f t="shared" si="39"/>
        <v>-</v>
      </c>
      <c r="S153" s="170" t="str">
        <f t="shared" si="38"/>
        <v>-</v>
      </c>
      <c r="T153" s="170" t="str">
        <f t="shared" si="38"/>
        <v>-</v>
      </c>
      <c r="U153" s="174" t="str">
        <f t="shared" si="38"/>
        <v>-</v>
      </c>
      <c r="V153" s="175" t="str">
        <f t="shared" si="38"/>
        <v>-</v>
      </c>
      <c r="W153" s="170" t="str">
        <f t="shared" si="38"/>
        <v>-</v>
      </c>
      <c r="X153" s="170" t="str">
        <f t="shared" si="38"/>
        <v>-</v>
      </c>
      <c r="Y153" s="170" t="str">
        <f t="shared" si="38"/>
        <v>-</v>
      </c>
      <c r="Z153" s="170" t="str">
        <f t="shared" si="38"/>
        <v>-</v>
      </c>
      <c r="AA153" s="170" t="str">
        <f t="shared" si="38"/>
        <v>-</v>
      </c>
      <c r="AB153" s="173" t="str">
        <f t="shared" si="38"/>
        <v>-</v>
      </c>
      <c r="AC153" s="170" t="str">
        <f>IF(A153="","",COUNTIF('Vika 36'!$B$5:$V$20,A153)+
COUNTIF('Vika 37'!$B$5:$V$20,A153)+
COUNTIF('Vika 38'!$B$5:$V$20,A153)+
COUNTIF('Vika 39'!$B$5:$V$20,A153)+
COUNTIF('Vika 40'!$B$5:$V$20,A153)+
COUNTIF('Vika 41'!$B$5:$V$20,A153)+
COUNTIF('Vika 42'!$B$5:$V$20,A153)+
COUNTIF('Vika 43'!$B$5:$V$20,A153)+
COUNTIF('Vika 44'!$B$5:$V$20,A153)+
COUNTIF('Vika 45'!$B$5:$V$20,A153)+
COUNTIF('Vika 46'!$B$5:$V$20,A153)+
COUNTIF('Vika 47'!$B$5:$V$20,A153)+
COUNTIF('Vika 48'!$B$5:$V$20,A153)+
COUNTIF('Vika x5'!$B$5:$V$20,A153))</f>
        <v/>
      </c>
    </row>
    <row r="154" spans="1:29" x14ac:dyDescent="0.2">
      <c r="A154" s="155"/>
      <c r="B154" s="172"/>
      <c r="C154" s="170" t="str">
        <f t="shared" si="39"/>
        <v>-</v>
      </c>
      <c r="D154" s="170" t="str">
        <f t="shared" si="39"/>
        <v>-</v>
      </c>
      <c r="E154" s="170" t="str">
        <f t="shared" si="39"/>
        <v>-</v>
      </c>
      <c r="F154" s="173" t="str">
        <f t="shared" si="39"/>
        <v>-</v>
      </c>
      <c r="G154" s="172" t="str">
        <f t="shared" si="39"/>
        <v>-</v>
      </c>
      <c r="H154" s="170" t="str">
        <f t="shared" si="39"/>
        <v>-</v>
      </c>
      <c r="I154" s="170" t="str">
        <f t="shared" si="39"/>
        <v>-</v>
      </c>
      <c r="J154" s="170" t="str">
        <f t="shared" si="39"/>
        <v>-</v>
      </c>
      <c r="K154" s="173" t="str">
        <f t="shared" si="39"/>
        <v>-</v>
      </c>
      <c r="L154" s="172" t="str">
        <f t="shared" si="39"/>
        <v>-</v>
      </c>
      <c r="M154" s="170" t="str">
        <f t="shared" si="39"/>
        <v>-</v>
      </c>
      <c r="N154" s="170" t="str">
        <f t="shared" si="39"/>
        <v>-</v>
      </c>
      <c r="O154" s="170" t="str">
        <f t="shared" si="39"/>
        <v>-</v>
      </c>
      <c r="P154" s="173" t="str">
        <f t="shared" si="39"/>
        <v>-</v>
      </c>
      <c r="Q154" s="172" t="str">
        <f t="shared" si="39"/>
        <v>-</v>
      </c>
      <c r="R154" s="170" t="str">
        <f t="shared" si="39"/>
        <v>-</v>
      </c>
      <c r="S154" s="170" t="str">
        <f t="shared" si="38"/>
        <v>-</v>
      </c>
      <c r="T154" s="170" t="str">
        <f t="shared" si="38"/>
        <v>-</v>
      </c>
      <c r="U154" s="174" t="str">
        <f t="shared" si="38"/>
        <v>-</v>
      </c>
      <c r="V154" s="175" t="str">
        <f t="shared" si="38"/>
        <v>-</v>
      </c>
      <c r="W154" s="170" t="str">
        <f t="shared" si="38"/>
        <v>-</v>
      </c>
      <c r="X154" s="170" t="str">
        <f t="shared" si="38"/>
        <v>-</v>
      </c>
      <c r="Y154" s="170" t="str">
        <f t="shared" si="38"/>
        <v>-</v>
      </c>
      <c r="Z154" s="170" t="str">
        <f t="shared" si="38"/>
        <v>-</v>
      </c>
      <c r="AA154" s="170" t="str">
        <f t="shared" si="38"/>
        <v>-</v>
      </c>
      <c r="AB154" s="173" t="str">
        <f t="shared" si="38"/>
        <v>-</v>
      </c>
      <c r="AC154" s="170" t="str">
        <f>IF(A154="","",COUNTIF('Vika 36'!$B$5:$V$20,A154)+
COUNTIF('Vika 37'!$B$5:$V$20,A154)+
COUNTIF('Vika 38'!$B$5:$V$20,A154)+
COUNTIF('Vika 39'!$B$5:$V$20,A154)+
COUNTIF('Vika 40'!$B$5:$V$20,A154)+
COUNTIF('Vika 41'!$B$5:$V$20,A154)+
COUNTIF('Vika 42'!$B$5:$V$20,A154)+
COUNTIF('Vika 43'!$B$5:$V$20,A154)+
COUNTIF('Vika 44'!$B$5:$V$20,A154)+
COUNTIF('Vika 45'!$B$5:$V$20,A154)+
COUNTIF('Vika 46'!$B$5:$V$20,A154)+
COUNTIF('Vika 47'!$B$5:$V$20,A154)+
COUNTIF('Vika 48'!$B$5:$V$20,A154)+
COUNTIF('Vika x5'!$B$5:$V$20,A154))</f>
        <v/>
      </c>
    </row>
    <row r="155" spans="1:29" x14ac:dyDescent="0.2">
      <c r="A155" s="155"/>
      <c r="B155" s="172"/>
      <c r="C155" s="170" t="str">
        <f t="shared" si="39"/>
        <v>-</v>
      </c>
      <c r="D155" s="170" t="str">
        <f t="shared" si="39"/>
        <v>-</v>
      </c>
      <c r="E155" s="170" t="str">
        <f t="shared" si="39"/>
        <v>-</v>
      </c>
      <c r="F155" s="173" t="str">
        <f t="shared" si="39"/>
        <v>-</v>
      </c>
      <c r="G155" s="172" t="str">
        <f t="shared" si="39"/>
        <v>-</v>
      </c>
      <c r="H155" s="170" t="str">
        <f t="shared" si="39"/>
        <v>-</v>
      </c>
      <c r="I155" s="170" t="str">
        <f t="shared" si="39"/>
        <v>-</v>
      </c>
      <c r="J155" s="170" t="str">
        <f t="shared" si="39"/>
        <v>-</v>
      </c>
      <c r="K155" s="173" t="str">
        <f t="shared" si="39"/>
        <v>-</v>
      </c>
      <c r="L155" s="172" t="str">
        <f t="shared" si="39"/>
        <v>-</v>
      </c>
      <c r="M155" s="170" t="str">
        <f t="shared" si="39"/>
        <v>-</v>
      </c>
      <c r="N155" s="170" t="str">
        <f t="shared" si="39"/>
        <v>-</v>
      </c>
      <c r="O155" s="170" t="str">
        <f t="shared" si="39"/>
        <v>-</v>
      </c>
      <c r="P155" s="173" t="str">
        <f t="shared" si="39"/>
        <v>-</v>
      </c>
      <c r="Q155" s="172" t="str">
        <f t="shared" si="39"/>
        <v>-</v>
      </c>
      <c r="R155" s="170" t="str">
        <f t="shared" si="39"/>
        <v>-</v>
      </c>
      <c r="S155" s="170" t="str">
        <f t="shared" si="38"/>
        <v>-</v>
      </c>
      <c r="T155" s="170" t="str">
        <f t="shared" si="38"/>
        <v>-</v>
      </c>
      <c r="U155" s="174" t="str">
        <f t="shared" si="38"/>
        <v>-</v>
      </c>
      <c r="V155" s="175" t="str">
        <f t="shared" si="38"/>
        <v>-</v>
      </c>
      <c r="W155" s="170" t="str">
        <f t="shared" si="38"/>
        <v>-</v>
      </c>
      <c r="X155" s="170" t="str">
        <f t="shared" si="38"/>
        <v>-</v>
      </c>
      <c r="Y155" s="170" t="str">
        <f t="shared" si="38"/>
        <v>-</v>
      </c>
      <c r="Z155" s="170" t="str">
        <f t="shared" si="38"/>
        <v>-</v>
      </c>
      <c r="AA155" s="170" t="str">
        <f t="shared" si="38"/>
        <v>-</v>
      </c>
      <c r="AB155" s="173" t="str">
        <f t="shared" si="38"/>
        <v>-</v>
      </c>
      <c r="AC155" s="170" t="str">
        <f>IF(A155="","",COUNTIF('Vika 36'!$B$5:$V$20,A155)+
COUNTIF('Vika 37'!$B$5:$V$20,A155)+
COUNTIF('Vika 38'!$B$5:$V$20,A155)+
COUNTIF('Vika 39'!$B$5:$V$20,A155)+
COUNTIF('Vika 40'!$B$5:$V$20,A155)+
COUNTIF('Vika 41'!$B$5:$V$20,A155)+
COUNTIF('Vika 42'!$B$5:$V$20,A155)+
COUNTIF('Vika 43'!$B$5:$V$20,A155)+
COUNTIF('Vika 44'!$B$5:$V$20,A155)+
COUNTIF('Vika 45'!$B$5:$V$20,A155)+
COUNTIF('Vika 46'!$B$5:$V$20,A155)+
COUNTIF('Vika 47'!$B$5:$V$20,A155)+
COUNTIF('Vika 48'!$B$5:$V$20,A155)+
COUNTIF('Vika x5'!$B$5:$V$20,A155))</f>
        <v/>
      </c>
    </row>
    <row r="156" spans="1:29" x14ac:dyDescent="0.2">
      <c r="A156" s="155"/>
      <c r="B156" s="172"/>
      <c r="C156" s="170" t="str">
        <f t="shared" si="39"/>
        <v>-</v>
      </c>
      <c r="D156" s="170" t="str">
        <f t="shared" si="39"/>
        <v>-</v>
      </c>
      <c r="E156" s="170" t="str">
        <f t="shared" si="39"/>
        <v>-</v>
      </c>
      <c r="F156" s="173" t="str">
        <f t="shared" si="39"/>
        <v>-</v>
      </c>
      <c r="G156" s="172" t="str">
        <f t="shared" si="39"/>
        <v>-</v>
      </c>
      <c r="H156" s="170" t="str">
        <f t="shared" si="39"/>
        <v>-</v>
      </c>
      <c r="I156" s="170" t="str">
        <f t="shared" si="39"/>
        <v>-</v>
      </c>
      <c r="J156" s="170" t="str">
        <f t="shared" si="39"/>
        <v>-</v>
      </c>
      <c r="K156" s="173" t="str">
        <f t="shared" si="39"/>
        <v>-</v>
      </c>
      <c r="L156" s="172" t="str">
        <f t="shared" si="39"/>
        <v>-</v>
      </c>
      <c r="M156" s="170" t="str">
        <f t="shared" si="39"/>
        <v>-</v>
      </c>
      <c r="N156" s="170" t="str">
        <f t="shared" si="39"/>
        <v>-</v>
      </c>
      <c r="O156" s="170" t="str">
        <f t="shared" si="39"/>
        <v>-</v>
      </c>
      <c r="P156" s="173" t="str">
        <f t="shared" si="39"/>
        <v>-</v>
      </c>
      <c r="Q156" s="172" t="str">
        <f t="shared" si="39"/>
        <v>-</v>
      </c>
      <c r="R156" s="170" t="str">
        <f t="shared" si="39"/>
        <v>-</v>
      </c>
      <c r="S156" s="170" t="str">
        <f t="shared" si="38"/>
        <v>-</v>
      </c>
      <c r="T156" s="170" t="str">
        <f t="shared" si="38"/>
        <v>-</v>
      </c>
      <c r="U156" s="174" t="str">
        <f t="shared" si="38"/>
        <v>-</v>
      </c>
      <c r="V156" s="175" t="str">
        <f t="shared" si="38"/>
        <v>-</v>
      </c>
      <c r="W156" s="170" t="str">
        <f t="shared" si="38"/>
        <v>-</v>
      </c>
      <c r="X156" s="170" t="str">
        <f t="shared" si="38"/>
        <v>-</v>
      </c>
      <c r="Y156" s="170" t="str">
        <f t="shared" si="38"/>
        <v>-</v>
      </c>
      <c r="Z156" s="170" t="str">
        <f t="shared" si="38"/>
        <v>-</v>
      </c>
      <c r="AA156" s="170" t="str">
        <f t="shared" si="38"/>
        <v>-</v>
      </c>
      <c r="AB156" s="173" t="str">
        <f t="shared" si="38"/>
        <v>-</v>
      </c>
      <c r="AC156" s="170" t="str">
        <f>IF(A156="","",COUNTIF('Vika 36'!$B$5:$V$20,A156)+
COUNTIF('Vika 37'!$B$5:$V$20,A156)+
COUNTIF('Vika 38'!$B$5:$V$20,A156)+
COUNTIF('Vika 39'!$B$5:$V$20,A156)+
COUNTIF('Vika 40'!$B$5:$V$20,A156)+
COUNTIF('Vika 41'!$B$5:$V$20,A156)+
COUNTIF('Vika 42'!$B$5:$V$20,A156)+
COUNTIF('Vika 43'!$B$5:$V$20,A156)+
COUNTIF('Vika 44'!$B$5:$V$20,A156)+
COUNTIF('Vika 45'!$B$5:$V$20,A156)+
COUNTIF('Vika 46'!$B$5:$V$20,A156)+
COUNTIF('Vika 47'!$B$5:$V$20,A156)+
COUNTIF('Vika 48'!$B$5:$V$20,A156)+
COUNTIF('Vika x5'!$B$5:$V$20,A156))</f>
        <v/>
      </c>
    </row>
    <row r="157" spans="1:29" x14ac:dyDescent="0.2">
      <c r="A157" s="155"/>
      <c r="B157" s="172"/>
      <c r="C157" s="170"/>
      <c r="D157" s="170"/>
      <c r="E157" s="170"/>
      <c r="F157" s="173"/>
      <c r="G157" s="172"/>
      <c r="H157" s="170"/>
      <c r="I157" s="170"/>
      <c r="J157" s="170"/>
      <c r="K157" s="173"/>
      <c r="L157" s="172"/>
      <c r="M157" s="170"/>
      <c r="N157" s="170"/>
      <c r="O157" s="170"/>
      <c r="P157" s="173"/>
      <c r="Q157" s="172"/>
      <c r="R157" s="170"/>
      <c r="S157" s="170"/>
      <c r="T157" s="170"/>
      <c r="U157" s="174"/>
      <c r="V157" s="175"/>
      <c r="W157" s="170"/>
      <c r="X157" s="170"/>
      <c r="Y157" s="170"/>
      <c r="Z157" s="170"/>
      <c r="AA157" s="170"/>
      <c r="AB157" s="173"/>
      <c r="AC157" s="170" t="str">
        <f>IF(A157="","",COUNTIF('Vika 36'!$B$5:$V$20,A157)+
COUNTIF('Vika 37'!$B$5:$V$20,A157)+
COUNTIF('Vika 38'!$B$5:$V$20,A157)+
COUNTIF('Vika 39'!$B$5:$V$20,A157)+
COUNTIF('Vika 40'!$B$5:$V$20,A157)+
COUNTIF('Vika 41'!$B$5:$V$20,A157)+
COUNTIF('Vika 42'!$B$5:$V$20,A157)+
COUNTIF('Vika 43'!$B$5:$V$20,A157)+
COUNTIF('Vika 44'!$B$5:$V$20,A157)+
COUNTIF('Vika 45'!$B$5:$V$20,A157)+
COUNTIF('Vika 46'!$B$5:$V$20,A157)+
COUNTIF('Vika 47'!$B$5:$V$20,A157)+
COUNTIF('Vika 48'!$B$5:$V$20,A157)+
COUNTIF('Vika x5'!$B$5:$V$20,A157))</f>
        <v/>
      </c>
    </row>
    <row r="158" spans="1:29" x14ac:dyDescent="0.2">
      <c r="A158" s="155"/>
      <c r="B158" s="172"/>
      <c r="C158" s="170"/>
      <c r="D158" s="170"/>
      <c r="E158" s="170"/>
      <c r="F158" s="173"/>
      <c r="G158" s="172"/>
      <c r="H158" s="170"/>
      <c r="I158" s="170"/>
      <c r="J158" s="170"/>
      <c r="K158" s="173"/>
      <c r="L158" s="172"/>
      <c r="M158" s="170"/>
      <c r="N158" s="170"/>
      <c r="O158" s="170"/>
      <c r="P158" s="173"/>
      <c r="Q158" s="172"/>
      <c r="R158" s="170"/>
      <c r="S158" s="170"/>
      <c r="T158" s="170"/>
      <c r="U158" s="174"/>
      <c r="V158" s="175"/>
      <c r="W158" s="170"/>
      <c r="X158" s="170"/>
      <c r="Y158" s="170"/>
      <c r="Z158" s="170"/>
      <c r="AA158" s="170"/>
      <c r="AB158" s="173"/>
      <c r="AC158" s="170" t="str">
        <f>IF(A158="","",COUNTIF('Vika 36'!$B$5:$V$20,A158)+
COUNTIF('Vika 37'!$B$5:$V$20,A158)+
COUNTIF('Vika 38'!$B$5:$V$20,A158)+
COUNTIF('Vika 39'!$B$5:$V$20,A158)+
COUNTIF('Vika 40'!$B$5:$V$20,A158)+
COUNTIF('Vika 41'!$B$5:$V$20,A158)+
COUNTIF('Vika 42'!$B$5:$V$20,A158)+
COUNTIF('Vika 43'!$B$5:$V$20,A158)+
COUNTIF('Vika 44'!$B$5:$V$20,A158)+
COUNTIF('Vika 45'!$B$5:$V$20,A158)+
COUNTIF('Vika 46'!$B$5:$V$20,A158)+
COUNTIF('Vika 47'!$B$5:$V$20,A158)+
COUNTIF('Vika 48'!$B$5:$V$20,A158)+
COUNTIF('Vika x5'!$B$5:$V$20,A158))</f>
        <v/>
      </c>
    </row>
    <row r="159" spans="1:29" x14ac:dyDescent="0.2">
      <c r="A159" s="155"/>
      <c r="B159" s="172"/>
      <c r="C159" s="170"/>
      <c r="D159" s="170"/>
      <c r="E159" s="170"/>
      <c r="F159" s="173"/>
      <c r="G159" s="172"/>
      <c r="H159" s="170"/>
      <c r="I159" s="170"/>
      <c r="J159" s="170"/>
      <c r="K159" s="173"/>
      <c r="L159" s="172"/>
      <c r="M159" s="170"/>
      <c r="N159" s="170"/>
      <c r="O159" s="170"/>
      <c r="P159" s="173"/>
      <c r="Q159" s="172"/>
      <c r="R159" s="170"/>
      <c r="S159" s="170"/>
      <c r="T159" s="170"/>
      <c r="U159" s="174"/>
      <c r="V159" s="175"/>
      <c r="W159" s="170"/>
      <c r="X159" s="170"/>
      <c r="Y159" s="170"/>
      <c r="Z159" s="170"/>
      <c r="AA159" s="170"/>
      <c r="AB159" s="173"/>
      <c r="AC159" s="170" t="str">
        <f>IF(A159="","",COUNTIF('Vika 36'!$B$5:$V$20,A159)+
COUNTIF('Vika 37'!$B$5:$V$20,A159)+
COUNTIF('Vika 38'!$B$5:$V$20,A159)+
COUNTIF('Vika 39'!$B$5:$V$20,A159)+
COUNTIF('Vika 40'!$B$5:$V$20,A159)+
COUNTIF('Vika 41'!$B$5:$V$20,A159)+
COUNTIF('Vika 42'!$B$5:$V$20,A159)+
COUNTIF('Vika 43'!$B$5:$V$20,A159)+
COUNTIF('Vika 44'!$B$5:$V$20,A159)+
COUNTIF('Vika 45'!$B$5:$V$20,A159)+
COUNTIF('Vika 46'!$B$5:$V$20,A159)+
COUNTIF('Vika 47'!$B$5:$V$20,A159)+
COUNTIF('Vika 48'!$B$5:$V$20,A159)+
COUNTIF('Vika x5'!$B$5:$V$20,A159))</f>
        <v/>
      </c>
    </row>
    <row r="160" spans="1:29" x14ac:dyDescent="0.2">
      <c r="A160" s="155"/>
      <c r="B160" s="172"/>
      <c r="C160" s="170"/>
      <c r="D160" s="170"/>
      <c r="E160" s="170"/>
      <c r="F160" s="173"/>
      <c r="G160" s="172"/>
      <c r="H160" s="170"/>
      <c r="I160" s="170"/>
      <c r="J160" s="170"/>
      <c r="K160" s="173"/>
      <c r="L160" s="172"/>
      <c r="M160" s="170"/>
      <c r="N160" s="170"/>
      <c r="O160" s="170"/>
      <c r="P160" s="173"/>
      <c r="Q160" s="172"/>
      <c r="R160" s="170"/>
      <c r="S160" s="170"/>
      <c r="T160" s="170"/>
      <c r="U160" s="174"/>
      <c r="V160" s="175"/>
      <c r="W160" s="170"/>
      <c r="X160" s="170"/>
      <c r="Y160" s="170"/>
      <c r="Z160" s="170"/>
      <c r="AA160" s="170"/>
      <c r="AB160" s="173"/>
      <c r="AC160" s="170" t="str">
        <f>IF(A160="","",COUNTIF('Vika 36'!$B$5:$V$20,A160)+
COUNTIF('Vika 37'!$B$5:$V$20,A160)+
COUNTIF('Vika 38'!$B$5:$V$20,A160)+
COUNTIF('Vika 39'!$B$5:$V$20,A160)+
COUNTIF('Vika 40'!$B$5:$V$20,A160)+
COUNTIF('Vika 41'!$B$5:$V$20,A160)+
COUNTIF('Vika 42'!$B$5:$V$20,A160)+
COUNTIF('Vika 43'!$B$5:$V$20,A160)+
COUNTIF('Vika 44'!$B$5:$V$20,A160)+
COUNTIF('Vika 45'!$B$5:$V$20,A160)+
COUNTIF('Vika 46'!$B$5:$V$20,A160)+
COUNTIF('Vika 47'!$B$5:$V$20,A160)+
COUNTIF('Vika 48'!$B$5:$V$20,A160)+
COUNTIF('Vika x5'!$B$5:$V$20,A160))</f>
        <v/>
      </c>
    </row>
    <row r="161" spans="1:29" x14ac:dyDescent="0.2">
      <c r="A161" s="155"/>
      <c r="B161" s="172"/>
      <c r="C161" s="170"/>
      <c r="D161" s="170"/>
      <c r="E161" s="170"/>
      <c r="F161" s="173"/>
      <c r="G161" s="172"/>
      <c r="H161" s="170"/>
      <c r="I161" s="170"/>
      <c r="J161" s="170"/>
      <c r="K161" s="173"/>
      <c r="L161" s="172"/>
      <c r="M161" s="170"/>
      <c r="N161" s="170"/>
      <c r="O161" s="170"/>
      <c r="P161" s="173"/>
      <c r="Q161" s="172"/>
      <c r="R161" s="170"/>
      <c r="S161" s="170"/>
      <c r="T161" s="170"/>
      <c r="U161" s="174"/>
      <c r="V161" s="175"/>
      <c r="W161" s="170"/>
      <c r="X161" s="170"/>
      <c r="Y161" s="170"/>
      <c r="Z161" s="170"/>
      <c r="AA161" s="170"/>
      <c r="AB161" s="173"/>
      <c r="AC161" s="170" t="str">
        <f>IF(A161="","",COUNTIF('Vika 36'!$B$5:$V$20,A161)+
COUNTIF('Vika 37'!$B$5:$V$20,A161)+
COUNTIF('Vika 38'!$B$5:$V$20,A161)+
COUNTIF('Vika 39'!$B$5:$V$20,A161)+
COUNTIF('Vika 40'!$B$5:$V$20,A161)+
COUNTIF('Vika 41'!$B$5:$V$20,A161)+
COUNTIF('Vika 42'!$B$5:$V$20,A161)+
COUNTIF('Vika 43'!$B$5:$V$20,A161)+
COUNTIF('Vika 44'!$B$5:$V$20,A161)+
COUNTIF('Vika 45'!$B$5:$V$20,A161)+
COUNTIF('Vika 46'!$B$5:$V$20,A161)+
COUNTIF('Vika 47'!$B$5:$V$20,A161)+
COUNTIF('Vika 48'!$B$5:$V$20,A161)+
COUNTIF('Vika x5'!$B$5:$V$20,A161))</f>
        <v/>
      </c>
    </row>
    <row r="162" spans="1:29" x14ac:dyDescent="0.2">
      <c r="A162" s="155"/>
      <c r="B162" s="172"/>
      <c r="C162" s="170"/>
      <c r="D162" s="170"/>
      <c r="E162" s="170"/>
      <c r="F162" s="173"/>
      <c r="G162" s="172"/>
      <c r="H162" s="170"/>
      <c r="I162" s="170"/>
      <c r="J162" s="170"/>
      <c r="K162" s="173"/>
      <c r="L162" s="172"/>
      <c r="M162" s="170"/>
      <c r="N162" s="170"/>
      <c r="O162" s="170"/>
      <c r="P162" s="173"/>
      <c r="Q162" s="172"/>
      <c r="R162" s="170"/>
      <c r="S162" s="170"/>
      <c r="T162" s="170"/>
      <c r="U162" s="174"/>
      <c r="V162" s="175"/>
      <c r="W162" s="170"/>
      <c r="X162" s="170"/>
      <c r="Y162" s="170"/>
      <c r="Z162" s="170"/>
      <c r="AA162" s="170"/>
      <c r="AB162" s="173"/>
      <c r="AC162" s="170" t="str">
        <f>IF(A162="","",COUNTIF('Vika 36'!$B$5:$V$20,A162)+
COUNTIF('Vika 37'!$B$5:$V$20,A162)+
COUNTIF('Vika 38'!$B$5:$V$20,A162)+
COUNTIF('Vika 39'!$B$5:$V$20,A162)+
COUNTIF('Vika 40'!$B$5:$V$20,A162)+
COUNTIF('Vika 41'!$B$5:$V$20,A162)+
COUNTIF('Vika 42'!$B$5:$V$20,A162)+
COUNTIF('Vika 43'!$B$5:$V$20,A162)+
COUNTIF('Vika 44'!$B$5:$V$20,A162)+
COUNTIF('Vika 45'!$B$5:$V$20,A162)+
COUNTIF('Vika 46'!$B$5:$V$20,A162)+
COUNTIF('Vika 47'!$B$5:$V$20,A162)+
COUNTIF('Vika 48'!$B$5:$V$20,A162)+
COUNTIF('Vika x5'!$B$5:$V$20,A162))</f>
        <v/>
      </c>
    </row>
    <row r="163" spans="1:29" x14ac:dyDescent="0.2">
      <c r="A163" s="155"/>
      <c r="B163" s="172"/>
      <c r="C163" s="170"/>
      <c r="D163" s="170"/>
      <c r="E163" s="170"/>
      <c r="F163" s="173"/>
      <c r="G163" s="172"/>
      <c r="H163" s="170"/>
      <c r="I163" s="170"/>
      <c r="J163" s="170"/>
      <c r="K163" s="173"/>
      <c r="L163" s="172"/>
      <c r="M163" s="170"/>
      <c r="N163" s="170"/>
      <c r="O163" s="170"/>
      <c r="P163" s="173"/>
      <c r="Q163" s="172"/>
      <c r="R163" s="170"/>
      <c r="S163" s="170"/>
      <c r="T163" s="170"/>
      <c r="U163" s="174"/>
      <c r="V163" s="175"/>
      <c r="W163" s="170"/>
      <c r="X163" s="170"/>
      <c r="Y163" s="170"/>
      <c r="Z163" s="170"/>
      <c r="AA163" s="170"/>
      <c r="AB163" s="173"/>
      <c r="AC163" s="170" t="str">
        <f>IF(A163="","",COUNTIF('Vika 36'!$B$5:$V$20,A163)+
COUNTIF('Vika 37'!$B$5:$V$20,A163)+
COUNTIF('Vika 38'!$B$5:$V$20,A163)+
COUNTIF('Vika 39'!$B$5:$V$20,A163)+
COUNTIF('Vika 40'!$B$5:$V$20,A163)+
COUNTIF('Vika 41'!$B$5:$V$20,A163)+
COUNTIF('Vika 42'!$B$5:$V$20,A163)+
COUNTIF('Vika 43'!$B$5:$V$20,A163)+
COUNTIF('Vika 44'!$B$5:$V$20,A163)+
COUNTIF('Vika 45'!$B$5:$V$20,A163)+
COUNTIF('Vika 46'!$B$5:$V$20,A163)+
COUNTIF('Vika 47'!$B$5:$V$20,A163)+
COUNTIF('Vika 48'!$B$5:$V$20,A163)+
COUNTIF('Vika x5'!$B$5:$V$20,A163))</f>
        <v/>
      </c>
    </row>
    <row r="164" spans="1:29" x14ac:dyDescent="0.2">
      <c r="A164" s="155"/>
      <c r="B164" s="172"/>
      <c r="C164" s="170"/>
      <c r="D164" s="170"/>
      <c r="E164" s="170"/>
      <c r="F164" s="173"/>
      <c r="G164" s="172"/>
      <c r="H164" s="170"/>
      <c r="I164" s="170"/>
      <c r="J164" s="170"/>
      <c r="K164" s="173"/>
      <c r="L164" s="172"/>
      <c r="M164" s="170"/>
      <c r="N164" s="170"/>
      <c r="O164" s="170"/>
      <c r="P164" s="173"/>
      <c r="Q164" s="172"/>
      <c r="R164" s="170"/>
      <c r="S164" s="170"/>
      <c r="T164" s="170"/>
      <c r="U164" s="174"/>
      <c r="V164" s="175"/>
      <c r="W164" s="170"/>
      <c r="X164" s="170"/>
      <c r="Y164" s="170"/>
      <c r="Z164" s="170"/>
      <c r="AA164" s="170"/>
      <c r="AB164" s="173"/>
      <c r="AC164" s="170" t="str">
        <f>IF(A164="","",COUNTIF('Vika 36'!$B$5:$V$20,A164)+
COUNTIF('Vika 37'!$B$5:$V$20,A164)+
COUNTIF('Vika 38'!$B$5:$V$20,A164)+
COUNTIF('Vika 39'!$B$5:$V$20,A164)+
COUNTIF('Vika 40'!$B$5:$V$20,A164)+
COUNTIF('Vika 41'!$B$5:$V$20,A164)+
COUNTIF('Vika 42'!$B$5:$V$20,A164)+
COUNTIF('Vika 43'!$B$5:$V$20,A164)+
COUNTIF('Vika 44'!$B$5:$V$20,A164)+
COUNTIF('Vika 45'!$B$5:$V$20,A164)+
COUNTIF('Vika 46'!$B$5:$V$20,A164)+
COUNTIF('Vika 47'!$B$5:$V$20,A164)+
COUNTIF('Vika 48'!$B$5:$V$20,A164)+
COUNTIF('Vika x5'!$B$5:$V$20,A164))</f>
        <v/>
      </c>
    </row>
    <row r="165" spans="1:29" x14ac:dyDescent="0.2">
      <c r="A165" s="155"/>
      <c r="B165" s="172"/>
      <c r="C165" s="170"/>
      <c r="D165" s="170"/>
      <c r="E165" s="170"/>
      <c r="F165" s="173"/>
      <c r="G165" s="172"/>
      <c r="H165" s="170"/>
      <c r="I165" s="170"/>
      <c r="J165" s="170"/>
      <c r="K165" s="173"/>
      <c r="L165" s="172"/>
      <c r="M165" s="170"/>
      <c r="N165" s="170"/>
      <c r="O165" s="170"/>
      <c r="P165" s="173"/>
      <c r="Q165" s="172"/>
      <c r="R165" s="170"/>
      <c r="S165" s="170"/>
      <c r="T165" s="170"/>
      <c r="U165" s="174"/>
      <c r="V165" s="175"/>
      <c r="W165" s="170"/>
      <c r="X165" s="170"/>
      <c r="Y165" s="170"/>
      <c r="Z165" s="170"/>
      <c r="AA165" s="170"/>
      <c r="AB165" s="173"/>
      <c r="AC165" s="170" t="str">
        <f>IF(A165="","",COUNTIF('Vika 36'!$B$5:$V$20,A165)+
COUNTIF('Vika 37'!$B$5:$V$20,A165)+
COUNTIF('Vika 38'!$B$5:$V$20,A165)+
COUNTIF('Vika 39'!$B$5:$V$20,A165)+
COUNTIF('Vika 40'!$B$5:$V$20,A165)+
COUNTIF('Vika 41'!$B$5:$V$20,A165)+
COUNTIF('Vika 42'!$B$5:$V$20,A165)+
COUNTIF('Vika 43'!$B$5:$V$20,A165)+
COUNTIF('Vika 44'!$B$5:$V$20,A165)+
COUNTIF('Vika 45'!$B$5:$V$20,A165)+
COUNTIF('Vika 46'!$B$5:$V$20,A165)+
COUNTIF('Vika 47'!$B$5:$V$20,A165)+
COUNTIF('Vika 48'!$B$5:$V$20,A165)+
COUNTIF('Vika x5'!$B$5:$V$20,A165))</f>
        <v/>
      </c>
    </row>
    <row r="166" spans="1:29" x14ac:dyDescent="0.2">
      <c r="A166" s="155"/>
      <c r="B166" s="172"/>
      <c r="C166" s="170"/>
      <c r="D166" s="170"/>
      <c r="E166" s="170"/>
      <c r="F166" s="173"/>
      <c r="G166" s="172"/>
      <c r="H166" s="170"/>
      <c r="I166" s="170"/>
      <c r="J166" s="170"/>
      <c r="K166" s="173"/>
      <c r="L166" s="172"/>
      <c r="M166" s="170"/>
      <c r="N166" s="170"/>
      <c r="O166" s="170"/>
      <c r="P166" s="173"/>
      <c r="Q166" s="172"/>
      <c r="R166" s="170"/>
      <c r="S166" s="170"/>
      <c r="T166" s="170"/>
      <c r="U166" s="174"/>
      <c r="V166" s="175"/>
      <c r="W166" s="170"/>
      <c r="X166" s="170"/>
      <c r="Y166" s="170"/>
      <c r="Z166" s="170"/>
      <c r="AA166" s="170"/>
      <c r="AB166" s="173"/>
      <c r="AC166" s="170" t="str">
        <f>IF(A166="","",COUNTIF('Vika 36'!$B$5:$V$20,A166)+
COUNTIF('Vika 37'!$B$5:$V$20,A166)+
COUNTIF('Vika 38'!$B$5:$V$20,A166)+
COUNTIF('Vika 39'!$B$5:$V$20,A166)+
COUNTIF('Vika 40'!$B$5:$V$20,A166)+
COUNTIF('Vika 41'!$B$5:$V$20,A166)+
COUNTIF('Vika 42'!$B$5:$V$20,A166)+
COUNTIF('Vika 43'!$B$5:$V$20,A166)+
COUNTIF('Vika 44'!$B$5:$V$20,A166)+
COUNTIF('Vika 45'!$B$5:$V$20,A166)+
COUNTIF('Vika 46'!$B$5:$V$20,A166)+
COUNTIF('Vika 47'!$B$5:$V$20,A166)+
COUNTIF('Vika 48'!$B$5:$V$20,A166)+
COUNTIF('Vika x5'!$B$5:$V$20,A166))</f>
        <v/>
      </c>
    </row>
    <row r="167" spans="1:29" x14ac:dyDescent="0.2">
      <c r="A167" s="155"/>
      <c r="B167" s="172"/>
      <c r="C167" s="170"/>
      <c r="D167" s="170"/>
      <c r="E167" s="170"/>
      <c r="F167" s="173"/>
      <c r="G167" s="172"/>
      <c r="H167" s="170"/>
      <c r="I167" s="170"/>
      <c r="J167" s="170"/>
      <c r="K167" s="173"/>
      <c r="L167" s="172"/>
      <c r="M167" s="170"/>
      <c r="N167" s="170"/>
      <c r="O167" s="170"/>
      <c r="P167" s="173"/>
      <c r="Q167" s="172"/>
      <c r="R167" s="170"/>
      <c r="S167" s="170"/>
      <c r="T167" s="170"/>
      <c r="U167" s="174"/>
      <c r="V167" s="175"/>
      <c r="W167" s="170"/>
      <c r="X167" s="170"/>
      <c r="Y167" s="170"/>
      <c r="Z167" s="170"/>
      <c r="AA167" s="170"/>
      <c r="AB167" s="173"/>
      <c r="AC167" s="170" t="str">
        <f>IF(A167="","",COUNTIF('Vika 36'!$B$5:$V$20,A167)+
COUNTIF('Vika 37'!$B$5:$V$20,A167)+
COUNTIF('Vika 38'!$B$5:$V$20,A167)+
COUNTIF('Vika 39'!$B$5:$V$20,A167)+
COUNTIF('Vika 40'!$B$5:$V$20,A167)+
COUNTIF('Vika 41'!$B$5:$V$20,A167)+
COUNTIF('Vika 42'!$B$5:$V$20,A167)+
COUNTIF('Vika 43'!$B$5:$V$20,A167)+
COUNTIF('Vika 44'!$B$5:$V$20,A167)+
COUNTIF('Vika 45'!$B$5:$V$20,A167)+
COUNTIF('Vika 46'!$B$5:$V$20,A167)+
COUNTIF('Vika 47'!$B$5:$V$20,A167)+
COUNTIF('Vika 48'!$B$5:$V$20,A167)+
COUNTIF('Vika x5'!$B$5:$V$20,A167))</f>
        <v/>
      </c>
    </row>
    <row r="168" spans="1:29" x14ac:dyDescent="0.2">
      <c r="A168" s="155"/>
      <c r="B168" s="172"/>
      <c r="C168" s="170"/>
      <c r="D168" s="170"/>
      <c r="E168" s="170"/>
      <c r="F168" s="173"/>
      <c r="G168" s="172"/>
      <c r="H168" s="170"/>
      <c r="I168" s="170"/>
      <c r="J168" s="170"/>
      <c r="K168" s="173"/>
      <c r="L168" s="172"/>
      <c r="M168" s="170"/>
      <c r="N168" s="170"/>
      <c r="O168" s="170"/>
      <c r="P168" s="173"/>
      <c r="Q168" s="172"/>
      <c r="R168" s="170"/>
      <c r="S168" s="170"/>
      <c r="T168" s="170"/>
      <c r="U168" s="174"/>
      <c r="V168" s="175"/>
      <c r="W168" s="170"/>
      <c r="X168" s="170"/>
      <c r="Y168" s="170"/>
      <c r="Z168" s="170"/>
      <c r="AA168" s="170"/>
      <c r="AB168" s="173"/>
      <c r="AC168" s="170" t="str">
        <f>IF(A168="","",COUNTIF('Vika 36'!$B$5:$V$20,A168)+
COUNTIF('Vika 37'!$B$5:$V$20,A168)+
COUNTIF('Vika 38'!$B$5:$V$20,A168)+
COUNTIF('Vika 39'!$B$5:$V$20,A168)+
COUNTIF('Vika 40'!$B$5:$V$20,A168)+
COUNTIF('Vika 41'!$B$5:$V$20,A168)+
COUNTIF('Vika 42'!$B$5:$V$20,A168)+
COUNTIF('Vika 43'!$B$5:$V$20,A168)+
COUNTIF('Vika 44'!$B$5:$V$20,A168)+
COUNTIF('Vika 45'!$B$5:$V$20,A168)+
COUNTIF('Vika 46'!$B$5:$V$20,A168)+
COUNTIF('Vika 47'!$B$5:$V$20,A168)+
COUNTIF('Vika 48'!$B$5:$V$20,A168)+
COUNTIF('Vika x5'!$B$5:$V$20,A168))</f>
        <v/>
      </c>
    </row>
    <row r="169" spans="1:29" x14ac:dyDescent="0.2">
      <c r="A169" s="155"/>
      <c r="B169" s="172"/>
      <c r="C169" s="170"/>
      <c r="D169" s="170"/>
      <c r="E169" s="170"/>
      <c r="F169" s="173"/>
      <c r="G169" s="172"/>
      <c r="H169" s="170"/>
      <c r="I169" s="170"/>
      <c r="J169" s="170"/>
      <c r="K169" s="173"/>
      <c r="L169" s="172"/>
      <c r="M169" s="170"/>
      <c r="N169" s="170"/>
      <c r="O169" s="170"/>
      <c r="P169" s="173"/>
      <c r="Q169" s="172"/>
      <c r="R169" s="170"/>
      <c r="S169" s="170"/>
      <c r="T169" s="170"/>
      <c r="U169" s="174"/>
      <c r="V169" s="175"/>
      <c r="W169" s="170"/>
      <c r="X169" s="170"/>
      <c r="Y169" s="170"/>
      <c r="Z169" s="170"/>
      <c r="AA169" s="170"/>
      <c r="AB169" s="173"/>
      <c r="AC169" s="170" t="str">
        <f>IF(A169="","",COUNTIF('Vika 36'!$B$5:$V$20,A169)+
COUNTIF('Vika 37'!$B$5:$V$20,A169)+
COUNTIF('Vika 38'!$B$5:$V$20,A169)+
COUNTIF('Vika 39'!$B$5:$V$20,A169)+
COUNTIF('Vika 40'!$B$5:$V$20,A169)+
COUNTIF('Vika 41'!$B$5:$V$20,A169)+
COUNTIF('Vika 42'!$B$5:$V$20,A169)+
COUNTIF('Vika 43'!$B$5:$V$20,A169)+
COUNTIF('Vika 44'!$B$5:$V$20,A169)+
COUNTIF('Vika 45'!$B$5:$V$20,A169)+
COUNTIF('Vika 46'!$B$5:$V$20,A169)+
COUNTIF('Vika 47'!$B$5:$V$20,A169)+
COUNTIF('Vika 48'!$B$5:$V$20,A169)+
COUNTIF('Vika x5'!$B$5:$V$20,A169))</f>
        <v/>
      </c>
    </row>
    <row r="170" spans="1:29" x14ac:dyDescent="0.2">
      <c r="A170" s="155"/>
      <c r="B170" s="172"/>
      <c r="C170" s="170"/>
      <c r="D170" s="170"/>
      <c r="E170" s="170"/>
      <c r="F170" s="173"/>
      <c r="G170" s="172"/>
      <c r="H170" s="170"/>
      <c r="I170" s="170"/>
      <c r="J170" s="170"/>
      <c r="K170" s="173"/>
      <c r="L170" s="172"/>
      <c r="M170" s="170"/>
      <c r="N170" s="170"/>
      <c r="O170" s="170"/>
      <c r="P170" s="173"/>
      <c r="Q170" s="172"/>
      <c r="R170" s="170"/>
      <c r="S170" s="170"/>
      <c r="T170" s="170"/>
      <c r="U170" s="174"/>
      <c r="V170" s="175"/>
      <c r="W170" s="170"/>
      <c r="X170" s="170"/>
      <c r="Y170" s="170"/>
      <c r="Z170" s="170"/>
      <c r="AA170" s="170"/>
      <c r="AB170" s="173"/>
      <c r="AC170" s="170" t="str">
        <f>IF(A170="","",COUNTIF('Vika 36'!$B$5:$V$20,A170)+
COUNTIF('Vika 37'!$B$5:$V$20,A170)+
COUNTIF('Vika 38'!$B$5:$V$20,A170)+
COUNTIF('Vika 39'!$B$5:$V$20,A170)+
COUNTIF('Vika 40'!$B$5:$V$20,A170)+
COUNTIF('Vika 41'!$B$5:$V$20,A170)+
COUNTIF('Vika 42'!$B$5:$V$20,A170)+
COUNTIF('Vika 43'!$B$5:$V$20,A170)+
COUNTIF('Vika 44'!$B$5:$V$20,A170)+
COUNTIF('Vika 45'!$B$5:$V$20,A170)+
COUNTIF('Vika 46'!$B$5:$V$20,A170)+
COUNTIF('Vika 47'!$B$5:$V$20,A170)+
COUNTIF('Vika 48'!$B$5:$V$20,A170)+
COUNTIF('Vika x5'!$B$5:$V$20,A170))</f>
        <v/>
      </c>
    </row>
    <row r="171" spans="1:29" x14ac:dyDescent="0.2">
      <c r="A171" s="155"/>
      <c r="B171" s="172"/>
      <c r="C171" s="170"/>
      <c r="D171" s="170"/>
      <c r="E171" s="170"/>
      <c r="F171" s="173"/>
      <c r="G171" s="172"/>
      <c r="H171" s="170"/>
      <c r="I171" s="170"/>
      <c r="J171" s="170"/>
      <c r="K171" s="173"/>
      <c r="L171" s="172"/>
      <c r="M171" s="170"/>
      <c r="N171" s="170"/>
      <c r="O171" s="170"/>
      <c r="P171" s="173"/>
      <c r="Q171" s="172"/>
      <c r="R171" s="170"/>
      <c r="S171" s="170"/>
      <c r="T171" s="170"/>
      <c r="U171" s="174"/>
      <c r="V171" s="175"/>
      <c r="W171" s="170"/>
      <c r="X171" s="170"/>
      <c r="Y171" s="170"/>
      <c r="Z171" s="170"/>
      <c r="AA171" s="170"/>
      <c r="AB171" s="173"/>
      <c r="AC171" s="170" t="str">
        <f>IF(A171="","",COUNTIF('Vika 36'!$B$5:$V$20,A171)+
COUNTIF('Vika 37'!$B$5:$V$20,A171)+
COUNTIF('Vika 38'!$B$5:$V$20,A171)+
COUNTIF('Vika 39'!$B$5:$V$20,A171)+
COUNTIF('Vika 40'!$B$5:$V$20,A171)+
COUNTIF('Vika 41'!$B$5:$V$20,A171)+
COUNTIF('Vika 42'!$B$5:$V$20,A171)+
COUNTIF('Vika 43'!$B$5:$V$20,A171)+
COUNTIF('Vika 44'!$B$5:$V$20,A171)+
COUNTIF('Vika 45'!$B$5:$V$20,A171)+
COUNTIF('Vika 46'!$B$5:$V$20,A171)+
COUNTIF('Vika 47'!$B$5:$V$20,A171)+
COUNTIF('Vika 48'!$B$5:$V$20,A171)+
COUNTIF('Vika x5'!$B$5:$V$20,A171))</f>
        <v/>
      </c>
    </row>
    <row r="172" spans="1:29" x14ac:dyDescent="0.2">
      <c r="A172" s="155"/>
      <c r="B172" s="172"/>
      <c r="C172" s="170"/>
      <c r="D172" s="170"/>
      <c r="E172" s="170"/>
      <c r="F172" s="173"/>
      <c r="G172" s="172"/>
      <c r="H172" s="170"/>
      <c r="I172" s="170"/>
      <c r="J172" s="170"/>
      <c r="K172" s="173"/>
      <c r="L172" s="172"/>
      <c r="M172" s="170"/>
      <c r="N172" s="170"/>
      <c r="O172" s="170"/>
      <c r="P172" s="173"/>
      <c r="Q172" s="172"/>
      <c r="R172" s="170"/>
      <c r="S172" s="170"/>
      <c r="T172" s="170"/>
      <c r="U172" s="174"/>
      <c r="V172" s="175"/>
      <c r="W172" s="170"/>
      <c r="X172" s="170"/>
      <c r="Y172" s="170"/>
      <c r="Z172" s="170"/>
      <c r="AA172" s="170"/>
      <c r="AB172" s="173"/>
      <c r="AC172" s="170" t="str">
        <f>IF(A172="","",COUNTIF('Vika 36'!$B$5:$V$20,A172)+
COUNTIF('Vika 37'!$B$5:$V$20,A172)+
COUNTIF('Vika 38'!$B$5:$V$20,A172)+
COUNTIF('Vika 39'!$B$5:$V$20,A172)+
COUNTIF('Vika 40'!$B$5:$V$20,A172)+
COUNTIF('Vika 41'!$B$5:$V$20,A172)+
COUNTIF('Vika 42'!$B$5:$V$20,A172)+
COUNTIF('Vika 43'!$B$5:$V$20,A172)+
COUNTIF('Vika 44'!$B$5:$V$20,A172)+
COUNTIF('Vika 45'!$B$5:$V$20,A172)+
COUNTIF('Vika 46'!$B$5:$V$20,A172)+
COUNTIF('Vika 47'!$B$5:$V$20,A172)+
COUNTIF('Vika 48'!$B$5:$V$20,A172)+
COUNTIF('Vika x5'!$B$5:$V$20,A172))</f>
        <v/>
      </c>
    </row>
    <row r="173" spans="1:29" x14ac:dyDescent="0.2">
      <c r="A173" s="155"/>
      <c r="B173" s="172"/>
      <c r="C173" s="170"/>
      <c r="D173" s="170"/>
      <c r="E173" s="170"/>
      <c r="F173" s="173"/>
      <c r="G173" s="172"/>
      <c r="H173" s="170"/>
      <c r="I173" s="170"/>
      <c r="J173" s="170"/>
      <c r="K173" s="173"/>
      <c r="L173" s="172"/>
      <c r="M173" s="170"/>
      <c r="N173" s="170"/>
      <c r="O173" s="170"/>
      <c r="P173" s="173"/>
      <c r="Q173" s="172"/>
      <c r="R173" s="170"/>
      <c r="S173" s="170"/>
      <c r="T173" s="170"/>
      <c r="U173" s="174"/>
      <c r="V173" s="175"/>
      <c r="W173" s="170"/>
      <c r="X173" s="170"/>
      <c r="Y173" s="170"/>
      <c r="Z173" s="170"/>
      <c r="AA173" s="170"/>
      <c r="AB173" s="173"/>
      <c r="AC173" s="170" t="str">
        <f>IF(A173="","",COUNTIF('Vika 36'!$B$5:$V$20,A173)+
COUNTIF('Vika 37'!$B$5:$V$20,A173)+
COUNTIF('Vika 38'!$B$5:$V$20,A173)+
COUNTIF('Vika 39'!$B$5:$V$20,A173)+
COUNTIF('Vika 40'!$B$5:$V$20,A173)+
COUNTIF('Vika 41'!$B$5:$V$20,A173)+
COUNTIF('Vika 42'!$B$5:$V$20,A173)+
COUNTIF('Vika 43'!$B$5:$V$20,A173)+
COUNTIF('Vika 44'!$B$5:$V$20,A173)+
COUNTIF('Vika 45'!$B$5:$V$20,A173)+
COUNTIF('Vika 46'!$B$5:$V$20,A173)+
COUNTIF('Vika 47'!$B$5:$V$20,A173)+
COUNTIF('Vika 48'!$B$5:$V$20,A173)+
COUNTIF('Vika x5'!$B$5:$V$20,A173))</f>
        <v/>
      </c>
    </row>
    <row r="174" spans="1:29" x14ac:dyDescent="0.2">
      <c r="A174" s="155"/>
      <c r="B174" s="172"/>
      <c r="C174" s="170"/>
      <c r="D174" s="170"/>
      <c r="E174" s="170"/>
      <c r="F174" s="173"/>
      <c r="G174" s="172"/>
      <c r="H174" s="170"/>
      <c r="I174" s="170"/>
      <c r="J174" s="170"/>
      <c r="K174" s="173"/>
      <c r="L174" s="172"/>
      <c r="M174" s="170"/>
      <c r="N174" s="170"/>
      <c r="O174" s="170"/>
      <c r="P174" s="173"/>
      <c r="Q174" s="172"/>
      <c r="R174" s="170"/>
      <c r="S174" s="170"/>
      <c r="T174" s="170"/>
      <c r="U174" s="174"/>
      <c r="V174" s="175"/>
      <c r="W174" s="170"/>
      <c r="X174" s="170"/>
      <c r="Y174" s="170"/>
      <c r="Z174" s="170"/>
      <c r="AA174" s="170"/>
      <c r="AB174" s="173"/>
      <c r="AC174" s="170" t="str">
        <f>IF(A174="","",COUNTIF('Vika 36'!$B$5:$V$20,A174)+
COUNTIF('Vika 37'!$B$5:$V$20,A174)+
COUNTIF('Vika 38'!$B$5:$V$20,A174)+
COUNTIF('Vika 39'!$B$5:$V$20,A174)+
COUNTIF('Vika 40'!$B$5:$V$20,A174)+
COUNTIF('Vika 41'!$B$5:$V$20,A174)+
COUNTIF('Vika 42'!$B$5:$V$20,A174)+
COUNTIF('Vika 43'!$B$5:$V$20,A174)+
COUNTIF('Vika 44'!$B$5:$V$20,A174)+
COUNTIF('Vika 45'!$B$5:$V$20,A174)+
COUNTIF('Vika 46'!$B$5:$V$20,A174)+
COUNTIF('Vika 47'!$B$5:$V$20,A174)+
COUNTIF('Vika 48'!$B$5:$V$20,A174)+
COUNTIF('Vika x5'!$B$5:$V$20,A174))</f>
        <v/>
      </c>
    </row>
    <row r="175" spans="1:29" x14ac:dyDescent="0.2">
      <c r="A175" s="155"/>
      <c r="B175" s="172"/>
      <c r="C175" s="170"/>
      <c r="D175" s="170"/>
      <c r="E175" s="170"/>
      <c r="F175" s="173"/>
      <c r="G175" s="172"/>
      <c r="H175" s="170"/>
      <c r="I175" s="170"/>
      <c r="J175" s="170"/>
      <c r="K175" s="173"/>
      <c r="L175" s="172"/>
      <c r="M175" s="170"/>
      <c r="N175" s="170"/>
      <c r="O175" s="170"/>
      <c r="P175" s="173"/>
      <c r="Q175" s="172"/>
      <c r="R175" s="170"/>
      <c r="S175" s="170"/>
      <c r="T175" s="170"/>
      <c r="U175" s="174"/>
      <c r="V175" s="175"/>
      <c r="W175" s="170"/>
      <c r="X175" s="170"/>
      <c r="Y175" s="170"/>
      <c r="Z175" s="170"/>
      <c r="AA175" s="170"/>
      <c r="AB175" s="173"/>
      <c r="AC175" s="170" t="str">
        <f>IF(A175="","",COUNTIF('Vika 36'!$B$5:$V$20,A175)+
COUNTIF('Vika 37'!$B$5:$V$20,A175)+
COUNTIF('Vika 38'!$B$5:$V$20,A175)+
COUNTIF('Vika 39'!$B$5:$V$20,A175)+
COUNTIF('Vika 40'!$B$5:$V$20,A175)+
COUNTIF('Vika 41'!$B$5:$V$20,A175)+
COUNTIF('Vika 42'!$B$5:$V$20,A175)+
COUNTIF('Vika 43'!$B$5:$V$20,A175)+
COUNTIF('Vika 44'!$B$5:$V$20,A175)+
COUNTIF('Vika 45'!$B$5:$V$20,A175)+
COUNTIF('Vika 46'!$B$5:$V$20,A175)+
COUNTIF('Vika 47'!$B$5:$V$20,A175)+
COUNTIF('Vika 48'!$B$5:$V$20,A175)+
COUNTIF('Vika x5'!$B$5:$V$20,A175))</f>
        <v/>
      </c>
    </row>
    <row r="176" spans="1:29" x14ac:dyDescent="0.2">
      <c r="A176" s="155"/>
      <c r="B176" s="172"/>
      <c r="C176" s="170"/>
      <c r="D176" s="170"/>
      <c r="E176" s="170"/>
      <c r="F176" s="173"/>
      <c r="G176" s="172"/>
      <c r="H176" s="170"/>
      <c r="I176" s="170"/>
      <c r="J176" s="170"/>
      <c r="K176" s="173"/>
      <c r="L176" s="172"/>
      <c r="M176" s="170"/>
      <c r="N176" s="170"/>
      <c r="O176" s="170"/>
      <c r="P176" s="173"/>
      <c r="Q176" s="172"/>
      <c r="R176" s="170"/>
      <c r="S176" s="170"/>
      <c r="T176" s="170"/>
      <c r="U176" s="174"/>
      <c r="V176" s="175"/>
      <c r="W176" s="170"/>
      <c r="X176" s="170"/>
      <c r="Y176" s="170"/>
      <c r="Z176" s="170"/>
      <c r="AA176" s="170"/>
      <c r="AB176" s="173"/>
      <c r="AC176" s="170" t="str">
        <f>IF(A176="","",COUNTIF('Vika 36'!$B$5:$V$20,A176)+
COUNTIF('Vika 37'!$B$5:$V$20,A176)+
COUNTIF('Vika 38'!$B$5:$V$20,A176)+
COUNTIF('Vika 39'!$B$5:$V$20,A176)+
COUNTIF('Vika 40'!$B$5:$V$20,A176)+
COUNTIF('Vika 41'!$B$5:$V$20,A176)+
COUNTIF('Vika 42'!$B$5:$V$20,A176)+
COUNTIF('Vika 43'!$B$5:$V$20,A176)+
COUNTIF('Vika 44'!$B$5:$V$20,A176)+
COUNTIF('Vika 45'!$B$5:$V$20,A176)+
COUNTIF('Vika 46'!$B$5:$V$20,A176)+
COUNTIF('Vika 47'!$B$5:$V$20,A176)+
COUNTIF('Vika 48'!$B$5:$V$20,A176)+
COUNTIF('Vika x5'!$B$5:$V$20,A176))</f>
        <v/>
      </c>
    </row>
    <row r="177" spans="1:29" x14ac:dyDescent="0.2">
      <c r="A177" s="155"/>
      <c r="B177" s="172"/>
      <c r="C177" s="170"/>
      <c r="D177" s="170"/>
      <c r="E177" s="170"/>
      <c r="F177" s="173"/>
      <c r="G177" s="172"/>
      <c r="H177" s="170"/>
      <c r="I177" s="170"/>
      <c r="J177" s="170"/>
      <c r="K177" s="173"/>
      <c r="L177" s="172"/>
      <c r="M177" s="170"/>
      <c r="N177" s="170"/>
      <c r="O177" s="170"/>
      <c r="P177" s="173"/>
      <c r="Q177" s="172"/>
      <c r="R177" s="170"/>
      <c r="S177" s="170"/>
      <c r="T177" s="170"/>
      <c r="U177" s="174"/>
      <c r="V177" s="175"/>
      <c r="W177" s="170"/>
      <c r="X177" s="170"/>
      <c r="Y177" s="170"/>
      <c r="Z177" s="170"/>
      <c r="AA177" s="170"/>
      <c r="AB177" s="173"/>
      <c r="AC177" s="170" t="str">
        <f>IF(A177="","",COUNTIF('Vika 36'!$B$5:$V$20,A177)+
COUNTIF('Vika 37'!$B$5:$V$20,A177)+
COUNTIF('Vika 38'!$B$5:$V$20,A177)+
COUNTIF('Vika 39'!$B$5:$V$20,A177)+
COUNTIF('Vika 40'!$B$5:$V$20,A177)+
COUNTIF('Vika 41'!$B$5:$V$20,A177)+
COUNTIF('Vika 42'!$B$5:$V$20,A177)+
COUNTIF('Vika 43'!$B$5:$V$20,A177)+
COUNTIF('Vika 44'!$B$5:$V$20,A177)+
COUNTIF('Vika 45'!$B$5:$V$20,A177)+
COUNTIF('Vika 46'!$B$5:$V$20,A177)+
COUNTIF('Vika 47'!$B$5:$V$20,A177)+
COUNTIF('Vika 48'!$B$5:$V$20,A177)+
COUNTIF('Vika x5'!$B$5:$V$20,A177))</f>
        <v/>
      </c>
    </row>
    <row r="178" spans="1:29" x14ac:dyDescent="0.2">
      <c r="A178" s="155"/>
      <c r="B178" s="172"/>
      <c r="C178" s="170"/>
      <c r="D178" s="170"/>
      <c r="E178" s="170"/>
      <c r="F178" s="173"/>
      <c r="G178" s="172"/>
      <c r="H178" s="170"/>
      <c r="I178" s="170"/>
      <c r="J178" s="170"/>
      <c r="K178" s="173"/>
      <c r="L178" s="172"/>
      <c r="M178" s="170"/>
      <c r="N178" s="170"/>
      <c r="O178" s="170"/>
      <c r="P178" s="173"/>
      <c r="Q178" s="172"/>
      <c r="R178" s="170"/>
      <c r="S178" s="170"/>
      <c r="T178" s="170"/>
      <c r="U178" s="174"/>
      <c r="V178" s="175"/>
      <c r="W178" s="170"/>
      <c r="X178" s="170"/>
      <c r="Y178" s="170"/>
      <c r="Z178" s="170"/>
      <c r="AA178" s="170"/>
      <c r="AB178" s="173"/>
      <c r="AC178" s="170" t="str">
        <f>IF(A178="","",COUNTIF('Vika 36'!$B$5:$V$20,A178)+
COUNTIF('Vika 37'!$B$5:$V$20,A178)+
COUNTIF('Vika 38'!$B$5:$V$20,A178)+
COUNTIF('Vika 39'!$B$5:$V$20,A178)+
COUNTIF('Vika 40'!$B$5:$V$20,A178)+
COUNTIF('Vika 41'!$B$5:$V$20,A178)+
COUNTIF('Vika 42'!$B$5:$V$20,A178)+
COUNTIF('Vika 43'!$B$5:$V$20,A178)+
COUNTIF('Vika 44'!$B$5:$V$20,A178)+
COUNTIF('Vika 45'!$B$5:$V$20,A178)+
COUNTIF('Vika 46'!$B$5:$V$20,A178)+
COUNTIF('Vika 47'!$B$5:$V$20,A178)+
COUNTIF('Vika 48'!$B$5:$V$20,A178)+
COUNTIF('Vika x5'!$B$5:$V$20,A178))</f>
        <v/>
      </c>
    </row>
    <row r="179" spans="1:29" x14ac:dyDescent="0.2">
      <c r="A179" s="155"/>
      <c r="B179" s="172"/>
      <c r="C179" s="170"/>
      <c r="D179" s="170"/>
      <c r="E179" s="170"/>
      <c r="F179" s="173"/>
      <c r="G179" s="172"/>
      <c r="H179" s="170"/>
      <c r="I179" s="170"/>
      <c r="J179" s="170"/>
      <c r="K179" s="173"/>
      <c r="L179" s="172"/>
      <c r="M179" s="170"/>
      <c r="N179" s="170"/>
      <c r="O179" s="170"/>
      <c r="P179" s="173"/>
      <c r="Q179" s="172"/>
      <c r="R179" s="170"/>
      <c r="S179" s="170"/>
      <c r="T179" s="170"/>
      <c r="U179" s="174"/>
      <c r="V179" s="175"/>
      <c r="W179" s="170"/>
      <c r="X179" s="170"/>
      <c r="Y179" s="170"/>
      <c r="Z179" s="170"/>
      <c r="AA179" s="170"/>
      <c r="AB179" s="173"/>
      <c r="AC179" s="170" t="str">
        <f>IF(A179="","",COUNTIF('Vika 36'!$B$5:$V$20,A179)+
COUNTIF('Vika 37'!$B$5:$V$20,A179)+
COUNTIF('Vika 38'!$B$5:$V$20,A179)+
COUNTIF('Vika 39'!$B$5:$V$20,A179)+
COUNTIF('Vika 40'!$B$5:$V$20,A179)+
COUNTIF('Vika 41'!$B$5:$V$20,A179)+
COUNTIF('Vika 42'!$B$5:$V$20,A179)+
COUNTIF('Vika 43'!$B$5:$V$20,A179)+
COUNTIF('Vika 44'!$B$5:$V$20,A179)+
COUNTIF('Vika 45'!$B$5:$V$20,A179)+
COUNTIF('Vika 46'!$B$5:$V$20,A179)+
COUNTIF('Vika 47'!$B$5:$V$20,A179)+
COUNTIF('Vika 48'!$B$5:$V$20,A179)+
COUNTIF('Vika x5'!$B$5:$V$20,A179))</f>
        <v/>
      </c>
    </row>
    <row r="180" spans="1:29" x14ac:dyDescent="0.2">
      <c r="A180" s="155"/>
      <c r="B180" s="172"/>
      <c r="C180" s="170"/>
      <c r="D180" s="170"/>
      <c r="E180" s="170"/>
      <c r="F180" s="173"/>
      <c r="G180" s="172"/>
      <c r="H180" s="170"/>
      <c r="I180" s="170"/>
      <c r="J180" s="170"/>
      <c r="K180" s="173"/>
      <c r="L180" s="172"/>
      <c r="M180" s="170"/>
      <c r="N180" s="170"/>
      <c r="O180" s="170"/>
      <c r="P180" s="173"/>
      <c r="Q180" s="172"/>
      <c r="R180" s="170"/>
      <c r="S180" s="170"/>
      <c r="T180" s="170"/>
      <c r="U180" s="174"/>
      <c r="V180" s="175"/>
      <c r="W180" s="170"/>
      <c r="X180" s="170"/>
      <c r="Y180" s="170"/>
      <c r="Z180" s="170"/>
      <c r="AA180" s="170"/>
      <c r="AB180" s="173"/>
      <c r="AC180" s="170" t="str">
        <f>IF(A180="","",COUNTIF('Vika 36'!$B$5:$V$20,A180)+
COUNTIF('Vika 37'!$B$5:$V$20,A180)+
COUNTIF('Vika 38'!$B$5:$V$20,A180)+
COUNTIF('Vika 39'!$B$5:$V$20,A180)+
COUNTIF('Vika 40'!$B$5:$V$20,A180)+
COUNTIF('Vika 41'!$B$5:$V$20,A180)+
COUNTIF('Vika 42'!$B$5:$V$20,A180)+
COUNTIF('Vika 43'!$B$5:$V$20,A180)+
COUNTIF('Vika 44'!$B$5:$V$20,A180)+
COUNTIF('Vika 45'!$B$5:$V$20,A180)+
COUNTIF('Vika 46'!$B$5:$V$20,A180)+
COUNTIF('Vika 47'!$B$5:$V$20,A180)+
COUNTIF('Vika 48'!$B$5:$V$20,A180)+
COUNTIF('Vika x5'!$B$5:$V$20,A180))</f>
        <v/>
      </c>
    </row>
    <row r="181" spans="1:29" x14ac:dyDescent="0.2">
      <c r="A181" s="155"/>
      <c r="B181" s="172"/>
      <c r="C181" s="170"/>
      <c r="D181" s="170"/>
      <c r="E181" s="170"/>
      <c r="F181" s="173"/>
      <c r="G181" s="172"/>
      <c r="H181" s="170"/>
      <c r="I181" s="170"/>
      <c r="J181" s="170"/>
      <c r="K181" s="173"/>
      <c r="L181" s="172"/>
      <c r="M181" s="170"/>
      <c r="N181" s="170"/>
      <c r="O181" s="170"/>
      <c r="P181" s="173"/>
      <c r="Q181" s="172"/>
      <c r="R181" s="170"/>
      <c r="S181" s="170"/>
      <c r="T181" s="170"/>
      <c r="U181" s="174"/>
      <c r="V181" s="175"/>
      <c r="W181" s="170"/>
      <c r="X181" s="170"/>
      <c r="Y181" s="170"/>
      <c r="Z181" s="170"/>
      <c r="AA181" s="170"/>
      <c r="AB181" s="173"/>
      <c r="AC181" s="170" t="str">
        <f>IF(A181="","",COUNTIF('Vika 36'!$B$5:$V$20,A181)+
COUNTIF('Vika 37'!$B$5:$V$20,A181)+
COUNTIF('Vika 38'!$B$5:$V$20,A181)+
COUNTIF('Vika 39'!$B$5:$V$20,A181)+
COUNTIF('Vika 40'!$B$5:$V$20,A181)+
COUNTIF('Vika 41'!$B$5:$V$20,A181)+
COUNTIF('Vika 42'!$B$5:$V$20,A181)+
COUNTIF('Vika 43'!$B$5:$V$20,A181)+
COUNTIF('Vika 44'!$B$5:$V$20,A181)+
COUNTIF('Vika 45'!$B$5:$V$20,A181)+
COUNTIF('Vika 46'!$B$5:$V$20,A181)+
COUNTIF('Vika 47'!$B$5:$V$20,A181)+
COUNTIF('Vika 48'!$B$5:$V$20,A181)+
COUNTIF('Vika x5'!$B$5:$V$20,A181))</f>
        <v/>
      </c>
    </row>
    <row r="182" spans="1:29" x14ac:dyDescent="0.2">
      <c r="A182" s="155"/>
      <c r="B182" s="172"/>
      <c r="C182" s="170"/>
      <c r="D182" s="170"/>
      <c r="E182" s="170"/>
      <c r="F182" s="173"/>
      <c r="G182" s="172"/>
      <c r="H182" s="170"/>
      <c r="I182" s="170"/>
      <c r="J182" s="170"/>
      <c r="K182" s="173"/>
      <c r="L182" s="172"/>
      <c r="M182" s="170"/>
      <c r="N182" s="170"/>
      <c r="O182" s="170"/>
      <c r="P182" s="173"/>
      <c r="Q182" s="172"/>
      <c r="R182" s="170"/>
      <c r="S182" s="170"/>
      <c r="T182" s="170"/>
      <c r="U182" s="174"/>
      <c r="V182" s="175"/>
      <c r="W182" s="170"/>
      <c r="X182" s="170"/>
      <c r="Y182" s="170"/>
      <c r="Z182" s="170"/>
      <c r="AA182" s="170"/>
      <c r="AB182" s="173"/>
      <c r="AC182" s="170" t="str">
        <f>IF(A182="","",COUNTIF('Vika 36'!$B$5:$V$20,A182)+
COUNTIF('Vika 37'!$B$5:$V$20,A182)+
COUNTIF('Vika 38'!$B$5:$V$20,A182)+
COUNTIF('Vika 39'!$B$5:$V$20,A182)+
COUNTIF('Vika 40'!$B$5:$V$20,A182)+
COUNTIF('Vika 41'!$B$5:$V$20,A182)+
COUNTIF('Vika 42'!$B$5:$V$20,A182)+
COUNTIF('Vika 43'!$B$5:$V$20,A182)+
COUNTIF('Vika 44'!$B$5:$V$20,A182)+
COUNTIF('Vika 45'!$B$5:$V$20,A182)+
COUNTIF('Vika 46'!$B$5:$V$20,A182)+
COUNTIF('Vika 47'!$B$5:$V$20,A182)+
COUNTIF('Vika 48'!$B$5:$V$20,A182)+
COUNTIF('Vika x5'!$B$5:$V$20,A182))</f>
        <v/>
      </c>
    </row>
    <row r="183" spans="1:29" x14ac:dyDescent="0.2">
      <c r="A183" s="155"/>
      <c r="B183" s="172"/>
      <c r="C183" s="170"/>
      <c r="D183" s="170"/>
      <c r="E183" s="170"/>
      <c r="F183" s="173"/>
      <c r="G183" s="172"/>
      <c r="H183" s="170"/>
      <c r="I183" s="170"/>
      <c r="J183" s="170"/>
      <c r="K183" s="173"/>
      <c r="L183" s="172"/>
      <c r="M183" s="170"/>
      <c r="N183" s="170"/>
      <c r="O183" s="170"/>
      <c r="P183" s="173"/>
      <c r="Q183" s="172"/>
      <c r="R183" s="170"/>
      <c r="S183" s="170"/>
      <c r="T183" s="170"/>
      <c r="U183" s="174"/>
      <c r="V183" s="175"/>
      <c r="W183" s="170"/>
      <c r="X183" s="170"/>
      <c r="Y183" s="170"/>
      <c r="Z183" s="170"/>
      <c r="AA183" s="170"/>
      <c r="AB183" s="173"/>
      <c r="AC183" s="170" t="str">
        <f>IF(A183="","",COUNTIF('Vika 36'!$B$5:$V$20,A183)+
COUNTIF('Vika 37'!$B$5:$V$20,A183)+
COUNTIF('Vika 38'!$B$5:$V$20,A183)+
COUNTIF('Vika 39'!$B$5:$V$20,A183)+
COUNTIF('Vika 40'!$B$5:$V$20,A183)+
COUNTIF('Vika 41'!$B$5:$V$20,A183)+
COUNTIF('Vika 42'!$B$5:$V$20,A183)+
COUNTIF('Vika 43'!$B$5:$V$20,A183)+
COUNTIF('Vika 44'!$B$5:$V$20,A183)+
COUNTIF('Vika 45'!$B$5:$V$20,A183)+
COUNTIF('Vika 46'!$B$5:$V$20,A183)+
COUNTIF('Vika 47'!$B$5:$V$20,A183)+
COUNTIF('Vika 48'!$B$5:$V$20,A183)+
COUNTIF('Vika x5'!$B$5:$V$20,A183))</f>
        <v/>
      </c>
    </row>
    <row r="184" spans="1:29" x14ac:dyDescent="0.2">
      <c r="A184" s="155"/>
      <c r="B184" s="172"/>
      <c r="C184" s="170"/>
      <c r="D184" s="170"/>
      <c r="E184" s="170"/>
      <c r="F184" s="173"/>
      <c r="G184" s="172"/>
      <c r="H184" s="170"/>
      <c r="I184" s="170"/>
      <c r="J184" s="170"/>
      <c r="K184" s="173"/>
      <c r="L184" s="172"/>
      <c r="M184" s="170"/>
      <c r="N184" s="170"/>
      <c r="O184" s="170"/>
      <c r="P184" s="173"/>
      <c r="Q184" s="172"/>
      <c r="R184" s="170"/>
      <c r="S184" s="170"/>
      <c r="T184" s="170"/>
      <c r="U184" s="174"/>
      <c r="V184" s="175"/>
      <c r="W184" s="170"/>
      <c r="X184" s="170"/>
      <c r="Y184" s="170"/>
      <c r="Z184" s="170"/>
      <c r="AA184" s="170"/>
      <c r="AB184" s="173"/>
      <c r="AC184" s="170" t="str">
        <f>IF(A184="","",COUNTIF('Vika 36'!$B$5:$V$20,A184)+
COUNTIF('Vika 37'!$B$5:$V$20,A184)+
COUNTIF('Vika 38'!$B$5:$V$20,A184)+
COUNTIF('Vika 39'!$B$5:$V$20,A184)+
COUNTIF('Vika 40'!$B$5:$V$20,A184)+
COUNTIF('Vika 41'!$B$5:$V$20,A184)+
COUNTIF('Vika 42'!$B$5:$V$20,A184)+
COUNTIF('Vika 43'!$B$5:$V$20,A184)+
COUNTIF('Vika 44'!$B$5:$V$20,A184)+
COUNTIF('Vika 45'!$B$5:$V$20,A184)+
COUNTIF('Vika 46'!$B$5:$V$20,A184)+
COUNTIF('Vika 47'!$B$5:$V$20,A184)+
COUNTIF('Vika 48'!$B$5:$V$20,A184)+
COUNTIF('Vika x5'!$B$5:$V$20,A184))</f>
        <v/>
      </c>
    </row>
    <row r="185" spans="1:29" x14ac:dyDescent="0.2">
      <c r="A185" s="155"/>
      <c r="B185" s="172"/>
      <c r="C185" s="170"/>
      <c r="D185" s="170"/>
      <c r="E185" s="170"/>
      <c r="F185" s="173"/>
      <c r="G185" s="172"/>
      <c r="H185" s="170"/>
      <c r="I185" s="170"/>
      <c r="J185" s="170"/>
      <c r="K185" s="173"/>
      <c r="L185" s="172"/>
      <c r="M185" s="170"/>
      <c r="N185" s="170"/>
      <c r="O185" s="170"/>
      <c r="P185" s="173"/>
      <c r="Q185" s="172"/>
      <c r="R185" s="170"/>
      <c r="S185" s="170"/>
      <c r="T185" s="170"/>
      <c r="U185" s="174"/>
      <c r="V185" s="175"/>
      <c r="W185" s="170"/>
      <c r="X185" s="170"/>
      <c r="Y185" s="170"/>
      <c r="Z185" s="170"/>
      <c r="AA185" s="170"/>
      <c r="AB185" s="173"/>
      <c r="AC185" s="170" t="str">
        <f>IF(A185="","",COUNTIF('Vika 36'!$B$5:$V$20,A185)+
COUNTIF('Vika 37'!$B$5:$V$20,A185)+
COUNTIF('Vika 38'!$B$5:$V$20,A185)+
COUNTIF('Vika 39'!$B$5:$V$20,A185)+
COUNTIF('Vika 40'!$B$5:$V$20,A185)+
COUNTIF('Vika 41'!$B$5:$V$20,A185)+
COUNTIF('Vika 42'!$B$5:$V$20,A185)+
COUNTIF('Vika 43'!$B$5:$V$20,A185)+
COUNTIF('Vika 44'!$B$5:$V$20,A185)+
COUNTIF('Vika 45'!$B$5:$V$20,A185)+
COUNTIF('Vika 46'!$B$5:$V$20,A185)+
COUNTIF('Vika 47'!$B$5:$V$20,A185)+
COUNTIF('Vika 48'!$B$5:$V$20,A185)+
COUNTIF('Vika x5'!$B$5:$V$20,A185))</f>
        <v/>
      </c>
    </row>
    <row r="186" spans="1:29" x14ac:dyDescent="0.2">
      <c r="A186" s="155"/>
      <c r="B186" s="172"/>
      <c r="C186" s="170"/>
      <c r="D186" s="170"/>
      <c r="E186" s="170"/>
      <c r="F186" s="173"/>
      <c r="G186" s="172"/>
      <c r="H186" s="170"/>
      <c r="I186" s="170"/>
      <c r="J186" s="170"/>
      <c r="K186" s="173"/>
      <c r="L186" s="172"/>
      <c r="M186" s="170"/>
      <c r="N186" s="170"/>
      <c r="O186" s="170"/>
      <c r="P186" s="173"/>
      <c r="Q186" s="172"/>
      <c r="R186" s="170"/>
      <c r="S186" s="170"/>
      <c r="T186" s="170"/>
      <c r="U186" s="174"/>
      <c r="V186" s="175"/>
      <c r="W186" s="170"/>
      <c r="X186" s="170"/>
      <c r="Y186" s="170"/>
      <c r="Z186" s="170"/>
      <c r="AA186" s="170"/>
      <c r="AB186" s="173"/>
      <c r="AC186" s="170" t="str">
        <f>IF(A186="","",COUNTIF('Vika 36'!$B$5:$V$20,A186)+
COUNTIF('Vika 37'!$B$5:$V$20,A186)+
COUNTIF('Vika 38'!$B$5:$V$20,A186)+
COUNTIF('Vika 39'!$B$5:$V$20,A186)+
COUNTIF('Vika 40'!$B$5:$V$20,A186)+
COUNTIF('Vika 41'!$B$5:$V$20,A186)+
COUNTIF('Vika 42'!$B$5:$V$20,A186)+
COUNTIF('Vika 43'!$B$5:$V$20,A186)+
COUNTIF('Vika 44'!$B$5:$V$20,A186)+
COUNTIF('Vika 45'!$B$5:$V$20,A186)+
COUNTIF('Vika 46'!$B$5:$V$20,A186)+
COUNTIF('Vika 47'!$B$5:$V$20,A186)+
COUNTIF('Vika 48'!$B$5:$V$20,A186)+
COUNTIF('Vika x5'!$B$5:$V$20,A186))</f>
        <v/>
      </c>
    </row>
    <row r="187" spans="1:29" x14ac:dyDescent="0.2">
      <c r="A187" s="155"/>
      <c r="B187" s="172"/>
      <c r="C187" s="170"/>
      <c r="D187" s="170"/>
      <c r="E187" s="170"/>
      <c r="F187" s="173"/>
      <c r="G187" s="172"/>
      <c r="H187" s="170"/>
      <c r="I187" s="170"/>
      <c r="J187" s="170"/>
      <c r="K187" s="173"/>
      <c r="L187" s="172"/>
      <c r="M187" s="170"/>
      <c r="N187" s="170"/>
      <c r="O187" s="170"/>
      <c r="P187" s="173"/>
      <c r="Q187" s="172"/>
      <c r="R187" s="170"/>
      <c r="S187" s="170"/>
      <c r="T187" s="170"/>
      <c r="U187" s="174"/>
      <c r="V187" s="175"/>
      <c r="W187" s="170"/>
      <c r="X187" s="170"/>
      <c r="Y187" s="170"/>
      <c r="Z187" s="170"/>
      <c r="AA187" s="170"/>
      <c r="AB187" s="173"/>
      <c r="AC187" s="170" t="str">
        <f>IF(A187="","",COUNTIF('Vika 36'!$B$5:$V$20,A187)+
COUNTIF('Vika 37'!$B$5:$V$20,A187)+
COUNTIF('Vika 38'!$B$5:$V$20,A187)+
COUNTIF('Vika 39'!$B$5:$V$20,A187)+
COUNTIF('Vika 40'!$B$5:$V$20,A187)+
COUNTIF('Vika 41'!$B$5:$V$20,A187)+
COUNTIF('Vika 42'!$B$5:$V$20,A187)+
COUNTIF('Vika 43'!$B$5:$V$20,A187)+
COUNTIF('Vika 44'!$B$5:$V$20,A187)+
COUNTIF('Vika 45'!$B$5:$V$20,A187)+
COUNTIF('Vika 46'!$B$5:$V$20,A187)+
COUNTIF('Vika 47'!$B$5:$V$20,A187)+
COUNTIF('Vika 48'!$B$5:$V$20,A187)+
COUNTIF('Vika x5'!$B$5:$V$20,A187))</f>
        <v/>
      </c>
    </row>
    <row r="188" spans="1:29" x14ac:dyDescent="0.2">
      <c r="A188" s="155"/>
      <c r="B188" s="172"/>
      <c r="C188" s="170"/>
      <c r="D188" s="170"/>
      <c r="E188" s="170"/>
      <c r="F188" s="173"/>
      <c r="G188" s="172"/>
      <c r="H188" s="170"/>
      <c r="I188" s="170"/>
      <c r="J188" s="170"/>
      <c r="K188" s="173"/>
      <c r="L188" s="172"/>
      <c r="M188" s="170"/>
      <c r="N188" s="170"/>
      <c r="O188" s="170"/>
      <c r="P188" s="173"/>
      <c r="Q188" s="172"/>
      <c r="R188" s="170"/>
      <c r="S188" s="170"/>
      <c r="T188" s="170"/>
      <c r="U188" s="174"/>
      <c r="V188" s="175"/>
      <c r="W188" s="170"/>
      <c r="X188" s="170"/>
      <c r="Y188" s="170"/>
      <c r="Z188" s="170"/>
      <c r="AA188" s="170"/>
      <c r="AB188" s="173"/>
      <c r="AC188" s="170" t="str">
        <f>IF(A188="","",COUNTIF('Vika 36'!$B$5:$V$20,A188)+
COUNTIF('Vika 37'!$B$5:$V$20,A188)+
COUNTIF('Vika 38'!$B$5:$V$20,A188)+
COUNTIF('Vika 39'!$B$5:$V$20,A188)+
COUNTIF('Vika 40'!$B$5:$V$20,A188)+
COUNTIF('Vika 41'!$B$5:$V$20,A188)+
COUNTIF('Vika 42'!$B$5:$V$20,A188)+
COUNTIF('Vika 43'!$B$5:$V$20,A188)+
COUNTIF('Vika 44'!$B$5:$V$20,A188)+
COUNTIF('Vika 45'!$B$5:$V$20,A188)+
COUNTIF('Vika 46'!$B$5:$V$20,A188)+
COUNTIF('Vika 47'!$B$5:$V$20,A188)+
COUNTIF('Vika 48'!$B$5:$V$20,A188)+
COUNTIF('Vika x5'!$B$5:$V$20,A188))</f>
        <v/>
      </c>
    </row>
    <row r="189" spans="1:29" x14ac:dyDescent="0.2">
      <c r="A189" s="155"/>
      <c r="B189" s="172"/>
      <c r="C189" s="170"/>
      <c r="D189" s="170"/>
      <c r="E189" s="170"/>
      <c r="F189" s="173"/>
      <c r="G189" s="172"/>
      <c r="H189" s="170"/>
      <c r="I189" s="170"/>
      <c r="J189" s="170"/>
      <c r="K189" s="173"/>
      <c r="L189" s="172"/>
      <c r="M189" s="170"/>
      <c r="N189" s="170"/>
      <c r="O189" s="170"/>
      <c r="P189" s="173"/>
      <c r="Q189" s="172"/>
      <c r="R189" s="170"/>
      <c r="S189" s="170"/>
      <c r="T189" s="170"/>
      <c r="U189" s="174"/>
      <c r="V189" s="175"/>
      <c r="W189" s="170"/>
      <c r="X189" s="170"/>
      <c r="Y189" s="170"/>
      <c r="Z189" s="170"/>
      <c r="AA189" s="170"/>
      <c r="AB189" s="173"/>
      <c r="AC189" s="170" t="str">
        <f>IF(A189="","",COUNTIF('Vika 36'!$B$5:$V$20,A189)+
COUNTIF('Vika 37'!$B$5:$V$20,A189)+
COUNTIF('Vika 38'!$B$5:$V$20,A189)+
COUNTIF('Vika 39'!$B$5:$V$20,A189)+
COUNTIF('Vika 40'!$B$5:$V$20,A189)+
COUNTIF('Vika 41'!$B$5:$V$20,A189)+
COUNTIF('Vika 42'!$B$5:$V$20,A189)+
COUNTIF('Vika 43'!$B$5:$V$20,A189)+
COUNTIF('Vika 44'!$B$5:$V$20,A189)+
COUNTIF('Vika 45'!$B$5:$V$20,A189)+
COUNTIF('Vika 46'!$B$5:$V$20,A189)+
COUNTIF('Vika 47'!$B$5:$V$20,A189)+
COUNTIF('Vika 48'!$B$5:$V$20,A189)+
COUNTIF('Vika x5'!$B$5:$V$20,A189))</f>
        <v/>
      </c>
    </row>
    <row r="190" spans="1:29" x14ac:dyDescent="0.2">
      <c r="A190" s="155"/>
      <c r="B190" s="172"/>
      <c r="C190" s="170"/>
      <c r="D190" s="170"/>
      <c r="E190" s="170"/>
      <c r="F190" s="173"/>
      <c r="G190" s="172"/>
      <c r="H190" s="170"/>
      <c r="I190" s="170"/>
      <c r="J190" s="170"/>
      <c r="K190" s="173"/>
      <c r="L190" s="172"/>
      <c r="M190" s="170"/>
      <c r="N190" s="170"/>
      <c r="O190" s="170"/>
      <c r="P190" s="173"/>
      <c r="Q190" s="172"/>
      <c r="R190" s="170"/>
      <c r="S190" s="170"/>
      <c r="T190" s="170"/>
      <c r="U190" s="174"/>
      <c r="V190" s="175"/>
      <c r="W190" s="170"/>
      <c r="X190" s="170"/>
      <c r="Y190" s="170"/>
      <c r="Z190" s="170"/>
      <c r="AA190" s="170"/>
      <c r="AB190" s="173"/>
      <c r="AC190" s="170" t="str">
        <f>IF(A190="","",COUNTIF('Vika 36'!$B$5:$V$20,A190)+
COUNTIF('Vika 37'!$B$5:$V$20,A190)+
COUNTIF('Vika 38'!$B$5:$V$20,A190)+
COUNTIF('Vika 39'!$B$5:$V$20,A190)+
COUNTIF('Vika 40'!$B$5:$V$20,A190)+
COUNTIF('Vika 41'!$B$5:$V$20,A190)+
COUNTIF('Vika 42'!$B$5:$V$20,A190)+
COUNTIF('Vika 43'!$B$5:$V$20,A190)+
COUNTIF('Vika 44'!$B$5:$V$20,A190)+
COUNTIF('Vika 45'!$B$5:$V$20,A190)+
COUNTIF('Vika 46'!$B$5:$V$20,A190)+
COUNTIF('Vika 47'!$B$5:$V$20,A190)+
COUNTIF('Vika 48'!$B$5:$V$20,A190)+
COUNTIF('Vika x5'!$B$5:$V$20,A190))</f>
        <v/>
      </c>
    </row>
    <row r="191" spans="1:29" x14ac:dyDescent="0.2">
      <c r="A191" s="155"/>
      <c r="B191" s="172"/>
      <c r="C191" s="170"/>
      <c r="D191" s="170"/>
      <c r="E191" s="170"/>
      <c r="F191" s="173"/>
      <c r="G191" s="172"/>
      <c r="H191" s="170"/>
      <c r="I191" s="170"/>
      <c r="J191" s="170"/>
      <c r="K191" s="173"/>
      <c r="L191" s="172"/>
      <c r="M191" s="170"/>
      <c r="N191" s="170"/>
      <c r="O191" s="170"/>
      <c r="P191" s="173"/>
      <c r="Q191" s="172"/>
      <c r="R191" s="170"/>
      <c r="S191" s="170"/>
      <c r="T191" s="170"/>
      <c r="U191" s="174"/>
      <c r="V191" s="175"/>
      <c r="W191" s="170"/>
      <c r="X191" s="170"/>
      <c r="Y191" s="170"/>
      <c r="Z191" s="170"/>
      <c r="AA191" s="170"/>
      <c r="AB191" s="173"/>
      <c r="AC191" s="170" t="str">
        <f>IF(A191="","",COUNTIF('Vika 36'!$B$5:$V$20,A191)+
COUNTIF('Vika 37'!$B$5:$V$20,A191)+
COUNTIF('Vika 38'!$B$5:$V$20,A191)+
COUNTIF('Vika 39'!$B$5:$V$20,A191)+
COUNTIF('Vika 40'!$B$5:$V$20,A191)+
COUNTIF('Vika 41'!$B$5:$V$20,A191)+
COUNTIF('Vika 42'!$B$5:$V$20,A191)+
COUNTIF('Vika 43'!$B$5:$V$20,A191)+
COUNTIF('Vika 44'!$B$5:$V$20,A191)+
COUNTIF('Vika 45'!$B$5:$V$20,A191)+
COUNTIF('Vika 46'!$B$5:$V$20,A191)+
COUNTIF('Vika 47'!$B$5:$V$20,A191)+
COUNTIF('Vika 48'!$B$5:$V$20,A191)+
COUNTIF('Vika x5'!$B$5:$V$20,A191))</f>
        <v/>
      </c>
    </row>
    <row r="192" spans="1:29" x14ac:dyDescent="0.2">
      <c r="A192" s="155"/>
      <c r="B192" s="172"/>
      <c r="C192" s="170"/>
      <c r="D192" s="170"/>
      <c r="E192" s="170"/>
      <c r="F192" s="173"/>
      <c r="G192" s="172"/>
      <c r="H192" s="170"/>
      <c r="I192" s="170"/>
      <c r="J192" s="170"/>
      <c r="K192" s="173"/>
      <c r="L192" s="172"/>
      <c r="M192" s="170"/>
      <c r="N192" s="170"/>
      <c r="O192" s="170"/>
      <c r="P192" s="173"/>
      <c r="Q192" s="172"/>
      <c r="R192" s="170"/>
      <c r="S192" s="170"/>
      <c r="T192" s="170"/>
      <c r="U192" s="174"/>
      <c r="V192" s="175"/>
      <c r="W192" s="170"/>
      <c r="X192" s="170"/>
      <c r="Y192" s="170"/>
      <c r="Z192" s="170"/>
      <c r="AA192" s="170"/>
      <c r="AB192" s="173"/>
      <c r="AC192" s="170" t="str">
        <f>IF(A192="","",COUNTIF('Vika 36'!$B$5:$V$20,A192)+
COUNTIF('Vika 37'!$B$5:$V$20,A192)+
COUNTIF('Vika 38'!$B$5:$V$20,A192)+
COUNTIF('Vika 39'!$B$5:$V$20,A192)+
COUNTIF('Vika 40'!$B$5:$V$20,A192)+
COUNTIF('Vika 41'!$B$5:$V$20,A192)+
COUNTIF('Vika 42'!$B$5:$V$20,A192)+
COUNTIF('Vika 43'!$B$5:$V$20,A192)+
COUNTIF('Vika 44'!$B$5:$V$20,A192)+
COUNTIF('Vika 45'!$B$5:$V$20,A192)+
COUNTIF('Vika 46'!$B$5:$V$20,A192)+
COUNTIF('Vika 47'!$B$5:$V$20,A192)+
COUNTIF('Vika 48'!$B$5:$V$20,A192)+
COUNTIF('Vika x5'!$B$5:$V$20,A192))</f>
        <v/>
      </c>
    </row>
    <row r="193" spans="1:29" x14ac:dyDescent="0.2">
      <c r="A193" s="155"/>
      <c r="B193" s="172"/>
      <c r="C193" s="170"/>
      <c r="D193" s="170"/>
      <c r="E193" s="170"/>
      <c r="F193" s="173"/>
      <c r="G193" s="172"/>
      <c r="H193" s="170"/>
      <c r="I193" s="170"/>
      <c r="J193" s="170"/>
      <c r="K193" s="173"/>
      <c r="L193" s="172"/>
      <c r="M193" s="170"/>
      <c r="N193" s="170"/>
      <c r="O193" s="170"/>
      <c r="P193" s="173"/>
      <c r="Q193" s="172"/>
      <c r="R193" s="170"/>
      <c r="S193" s="170"/>
      <c r="T193" s="170"/>
      <c r="U193" s="174"/>
      <c r="V193" s="175"/>
      <c r="W193" s="170"/>
      <c r="X193" s="170"/>
      <c r="Y193" s="170"/>
      <c r="Z193" s="170"/>
      <c r="AA193" s="170"/>
      <c r="AB193" s="173"/>
      <c r="AC193" s="170" t="str">
        <f>IF(A193="","",COUNTIF('Vika 36'!$B$5:$V$20,A193)+
COUNTIF('Vika 37'!$B$5:$V$20,A193)+
COUNTIF('Vika 38'!$B$5:$V$20,A193)+
COUNTIF('Vika 39'!$B$5:$V$20,A193)+
COUNTIF('Vika 40'!$B$5:$V$20,A193)+
COUNTIF('Vika 41'!$B$5:$V$20,A193)+
COUNTIF('Vika 42'!$B$5:$V$20,A193)+
COUNTIF('Vika 43'!$B$5:$V$20,A193)+
COUNTIF('Vika 44'!$B$5:$V$20,A193)+
COUNTIF('Vika 45'!$B$5:$V$20,A193)+
COUNTIF('Vika 46'!$B$5:$V$20,A193)+
COUNTIF('Vika 47'!$B$5:$V$20,A193)+
COUNTIF('Vika 48'!$B$5:$V$20,A193)+
COUNTIF('Vika x5'!$B$5:$V$20,A193))</f>
        <v/>
      </c>
    </row>
    <row r="194" spans="1:29" x14ac:dyDescent="0.2">
      <c r="A194" s="155"/>
      <c r="B194" s="172"/>
      <c r="C194" s="170"/>
      <c r="D194" s="170"/>
      <c r="E194" s="170"/>
      <c r="F194" s="173"/>
      <c r="G194" s="172"/>
      <c r="H194" s="170"/>
      <c r="I194" s="170"/>
      <c r="J194" s="170"/>
      <c r="K194" s="173"/>
      <c r="L194" s="172"/>
      <c r="M194" s="170"/>
      <c r="N194" s="170"/>
      <c r="O194" s="170"/>
      <c r="P194" s="173"/>
      <c r="Q194" s="172"/>
      <c r="R194" s="170"/>
      <c r="S194" s="170"/>
      <c r="T194" s="170"/>
      <c r="U194" s="174"/>
      <c r="V194" s="175"/>
      <c r="W194" s="170"/>
      <c r="X194" s="170"/>
      <c r="Y194" s="170"/>
      <c r="Z194" s="170"/>
      <c r="AA194" s="170"/>
      <c r="AB194" s="173"/>
      <c r="AC194" s="170" t="str">
        <f>IF(A194="","",COUNTIF('Vika 36'!$B$5:$V$20,A194)+
COUNTIF('Vika 37'!$B$5:$V$20,A194)+
COUNTIF('Vika 38'!$B$5:$V$20,A194)+
COUNTIF('Vika 39'!$B$5:$V$20,A194)+
COUNTIF('Vika 40'!$B$5:$V$20,A194)+
COUNTIF('Vika 41'!$B$5:$V$20,A194)+
COUNTIF('Vika 42'!$B$5:$V$20,A194)+
COUNTIF('Vika 43'!$B$5:$V$20,A194)+
COUNTIF('Vika 44'!$B$5:$V$20,A194)+
COUNTIF('Vika 45'!$B$5:$V$20,A194)+
COUNTIF('Vika 46'!$B$5:$V$20,A194)+
COUNTIF('Vika 47'!$B$5:$V$20,A194)+
COUNTIF('Vika 48'!$B$5:$V$20,A194)+
COUNTIF('Vika x5'!$B$5:$V$20,A194))</f>
        <v/>
      </c>
    </row>
    <row r="195" spans="1:29" x14ac:dyDescent="0.2">
      <c r="A195" s="155"/>
      <c r="B195" s="172"/>
      <c r="C195" s="170"/>
      <c r="D195" s="170"/>
      <c r="E195" s="170"/>
      <c r="F195" s="173"/>
      <c r="G195" s="172"/>
      <c r="H195" s="170"/>
      <c r="I195" s="170"/>
      <c r="J195" s="170"/>
      <c r="K195" s="173"/>
      <c r="L195" s="172"/>
      <c r="M195" s="170"/>
      <c r="N195" s="170"/>
      <c r="O195" s="170"/>
      <c r="P195" s="173"/>
      <c r="Q195" s="172"/>
      <c r="R195" s="170"/>
      <c r="S195" s="170"/>
      <c r="T195" s="170"/>
      <c r="U195" s="174"/>
      <c r="V195" s="175"/>
      <c r="W195" s="170"/>
      <c r="X195" s="170"/>
      <c r="Y195" s="170"/>
      <c r="Z195" s="170"/>
      <c r="AA195" s="170"/>
      <c r="AB195" s="173"/>
      <c r="AC195" s="170" t="str">
        <f>IF(A195="","",COUNTIF('Vika 36'!$B$5:$V$20,A195)+
COUNTIF('Vika 37'!$B$5:$V$20,A195)+
COUNTIF('Vika 38'!$B$5:$V$20,A195)+
COUNTIF('Vika 39'!$B$5:$V$20,A195)+
COUNTIF('Vika 40'!$B$5:$V$20,A195)+
COUNTIF('Vika 41'!$B$5:$V$20,A195)+
COUNTIF('Vika 42'!$B$5:$V$20,A195)+
COUNTIF('Vika 43'!$B$5:$V$20,A195)+
COUNTIF('Vika 44'!$B$5:$V$20,A195)+
COUNTIF('Vika 45'!$B$5:$V$20,A195)+
COUNTIF('Vika 46'!$B$5:$V$20,A195)+
COUNTIF('Vika 47'!$B$5:$V$20,A195)+
COUNTIF('Vika 48'!$B$5:$V$20,A195)+
COUNTIF('Vika x5'!$B$5:$V$20,A195))</f>
        <v/>
      </c>
    </row>
    <row r="196" spans="1:29" x14ac:dyDescent="0.2">
      <c r="A196" s="155"/>
      <c r="B196" s="172"/>
      <c r="C196" s="170"/>
      <c r="D196" s="170"/>
      <c r="E196" s="170"/>
      <c r="F196" s="173"/>
      <c r="G196" s="172"/>
      <c r="H196" s="170"/>
      <c r="I196" s="170"/>
      <c r="J196" s="170"/>
      <c r="K196" s="173"/>
      <c r="L196" s="172"/>
      <c r="M196" s="170"/>
      <c r="N196" s="170"/>
      <c r="O196" s="170"/>
      <c r="P196" s="173"/>
      <c r="Q196" s="172"/>
      <c r="R196" s="170"/>
      <c r="S196" s="170"/>
      <c r="T196" s="170"/>
      <c r="U196" s="174"/>
      <c r="V196" s="175"/>
      <c r="W196" s="170"/>
      <c r="X196" s="170"/>
      <c r="Y196" s="170"/>
      <c r="Z196" s="170"/>
      <c r="AA196" s="170"/>
      <c r="AB196" s="173"/>
      <c r="AC196" s="170" t="str">
        <f>IF(A196="","",COUNTIF('Vika 36'!$B$5:$V$20,A196)+
COUNTIF('Vika 37'!$B$5:$V$20,A196)+
COUNTIF('Vika 38'!$B$5:$V$20,A196)+
COUNTIF('Vika 39'!$B$5:$V$20,A196)+
COUNTIF('Vika 40'!$B$5:$V$20,A196)+
COUNTIF('Vika 41'!$B$5:$V$20,A196)+
COUNTIF('Vika 42'!$B$5:$V$20,A196)+
COUNTIF('Vika 43'!$B$5:$V$20,A196)+
COUNTIF('Vika 44'!$B$5:$V$20,A196)+
COUNTIF('Vika 45'!$B$5:$V$20,A196)+
COUNTIF('Vika 46'!$B$5:$V$20,A196)+
COUNTIF('Vika 47'!$B$5:$V$20,A196)+
COUNTIF('Vika 48'!$B$5:$V$20,A196)+
COUNTIF('Vika x5'!$B$5:$V$20,A196))</f>
        <v/>
      </c>
    </row>
    <row r="197" spans="1:29" x14ac:dyDescent="0.2">
      <c r="A197" s="155"/>
      <c r="B197" s="172"/>
      <c r="C197" s="170"/>
      <c r="D197" s="170"/>
      <c r="E197" s="170"/>
      <c r="F197" s="173"/>
      <c r="G197" s="172"/>
      <c r="H197" s="170"/>
      <c r="I197" s="170"/>
      <c r="J197" s="170"/>
      <c r="K197" s="173"/>
      <c r="L197" s="172"/>
      <c r="M197" s="170"/>
      <c r="N197" s="170"/>
      <c r="O197" s="170"/>
      <c r="P197" s="173"/>
      <c r="Q197" s="172"/>
      <c r="R197" s="170"/>
      <c r="S197" s="170"/>
      <c r="T197" s="170"/>
      <c r="U197" s="174"/>
      <c r="V197" s="175"/>
      <c r="W197" s="170"/>
      <c r="X197" s="170"/>
      <c r="Y197" s="170"/>
      <c r="Z197" s="170"/>
      <c r="AA197" s="170"/>
      <c r="AB197" s="173"/>
      <c r="AC197" s="170" t="str">
        <f>IF(A197="","",COUNTIF('Vika 36'!$B$5:$V$20,A197)+
COUNTIF('Vika 37'!$B$5:$V$20,A197)+
COUNTIF('Vika 38'!$B$5:$V$20,A197)+
COUNTIF('Vika 39'!$B$5:$V$20,A197)+
COUNTIF('Vika 40'!$B$5:$V$20,A197)+
COUNTIF('Vika 41'!$B$5:$V$20,A197)+
COUNTIF('Vika 42'!$B$5:$V$20,A197)+
COUNTIF('Vika 43'!$B$5:$V$20,A197)+
COUNTIF('Vika 44'!$B$5:$V$20,A197)+
COUNTIF('Vika 45'!$B$5:$V$20,A197)+
COUNTIF('Vika 46'!$B$5:$V$20,A197)+
COUNTIF('Vika 47'!$B$5:$V$20,A197)+
COUNTIF('Vika 48'!$B$5:$V$20,A197)+
COUNTIF('Vika x5'!$B$5:$V$20,A197))</f>
        <v/>
      </c>
    </row>
    <row r="198" spans="1:29" x14ac:dyDescent="0.2">
      <c r="A198" s="155"/>
      <c r="B198" s="156"/>
      <c r="C198" s="157"/>
      <c r="D198" s="157"/>
      <c r="E198" s="157"/>
      <c r="F198" s="158"/>
      <c r="G198" s="156"/>
      <c r="H198" s="157"/>
      <c r="I198" s="157"/>
      <c r="J198" s="157"/>
      <c r="K198" s="158"/>
      <c r="L198" s="156"/>
      <c r="M198" s="157"/>
      <c r="N198" s="157"/>
      <c r="O198" s="157"/>
      <c r="P198" s="158"/>
      <c r="Q198" s="156"/>
      <c r="R198" s="157"/>
      <c r="S198" s="157"/>
      <c r="T198" s="157"/>
      <c r="U198" s="159"/>
      <c r="V198" s="160"/>
      <c r="W198" s="157"/>
      <c r="X198" s="157"/>
      <c r="Y198" s="157"/>
      <c r="Z198" s="157"/>
      <c r="AA198" s="157"/>
      <c r="AB198" s="158"/>
      <c r="AC198" s="170" t="str">
        <f>IF(A198="","",COUNTIF('Vika 36'!$B$5:$V$20,A198)+
COUNTIF('Vika 37'!$B$5:$V$20,A198)+
COUNTIF('Vika 38'!$B$5:$V$20,A198)+
COUNTIF('Vika 39'!$B$5:$V$20,A198)+
COUNTIF('Vika 40'!$B$5:$V$20,A198)+
COUNTIF('Vika 41'!$B$5:$V$20,A198)+
COUNTIF('Vika 42'!$B$5:$V$20,A198)+
COUNTIF('Vika 43'!$B$5:$V$20,A198)+
COUNTIF('Vika 44'!$B$5:$V$20,A198)+
COUNTIF('Vika 45'!$B$5:$V$20,A198)+
COUNTIF('Vika 46'!$B$5:$V$20,A198)+
COUNTIF('Vika 47'!$B$5:$V$20,A198)+
COUNTIF('Vika 48'!$B$5:$V$20,A198)+
COUNTIF('Vika x5'!$B$5:$V$20,A198))</f>
        <v/>
      </c>
    </row>
    <row r="199" spans="1:29" x14ac:dyDescent="0.2">
      <c r="A199" s="155"/>
      <c r="B199" s="156"/>
      <c r="C199" s="157"/>
      <c r="D199" s="157"/>
      <c r="E199" s="157"/>
      <c r="F199" s="158"/>
      <c r="G199" s="156"/>
      <c r="H199" s="157"/>
      <c r="I199" s="157"/>
      <c r="J199" s="157"/>
      <c r="K199" s="158"/>
      <c r="L199" s="156"/>
      <c r="M199" s="157"/>
      <c r="N199" s="157"/>
      <c r="O199" s="157"/>
      <c r="P199" s="158"/>
      <c r="Q199" s="156"/>
      <c r="R199" s="157"/>
      <c r="S199" s="157"/>
      <c r="T199" s="157"/>
      <c r="U199" s="159"/>
      <c r="V199" s="160"/>
      <c r="W199" s="157"/>
      <c r="X199" s="157"/>
      <c r="Y199" s="157"/>
      <c r="Z199" s="157"/>
      <c r="AA199" s="157"/>
      <c r="AB199" s="158"/>
      <c r="AC199" s="170" t="str">
        <f>IF(A199="","",COUNTIF('Vika 36'!$B$5:$V$20,A199)+
COUNTIF('Vika 37'!$B$5:$V$20,A199)+
COUNTIF('Vika 38'!$B$5:$V$20,A199)+
COUNTIF('Vika 39'!$B$5:$V$20,A199)+
COUNTIF('Vika 40'!$B$5:$V$20,A199)+
COUNTIF('Vika 41'!$B$5:$V$20,A199)+
COUNTIF('Vika 42'!$B$5:$V$20,A199)+
COUNTIF('Vika 43'!$B$5:$V$20,A199)+
COUNTIF('Vika 44'!$B$5:$V$20,A199)+
COUNTIF('Vika 45'!$B$5:$V$20,A199)+
COUNTIF('Vika 46'!$B$5:$V$20,A199)+
COUNTIF('Vika 47'!$B$5:$V$20,A199)+
COUNTIF('Vika 48'!$B$5:$V$20,A199)+
COUNTIF('Vika x5'!$B$5:$V$20,A199))</f>
        <v/>
      </c>
    </row>
    <row r="200" spans="1:29" x14ac:dyDescent="0.2">
      <c r="A200" s="155" t="s">
        <v>102</v>
      </c>
      <c r="B200" s="164"/>
      <c r="C200" s="165" t="str">
        <f t="shared" ref="C200:Q200" si="40">IF($B200="","",$B200*C$203)</f>
        <v/>
      </c>
      <c r="D200" s="165" t="str">
        <f t="shared" si="40"/>
        <v/>
      </c>
      <c r="E200" s="165" t="str">
        <f t="shared" si="40"/>
        <v/>
      </c>
      <c r="F200" s="166" t="str">
        <f t="shared" si="40"/>
        <v/>
      </c>
      <c r="G200" s="167" t="str">
        <f t="shared" si="40"/>
        <v/>
      </c>
      <c r="H200" s="165" t="str">
        <f t="shared" si="40"/>
        <v/>
      </c>
      <c r="I200" s="165" t="str">
        <f t="shared" si="40"/>
        <v/>
      </c>
      <c r="J200" s="165" t="str">
        <f t="shared" si="40"/>
        <v/>
      </c>
      <c r="K200" s="166" t="str">
        <f t="shared" si="40"/>
        <v/>
      </c>
      <c r="L200" s="167" t="str">
        <f t="shared" si="40"/>
        <v/>
      </c>
      <c r="M200" s="165" t="str">
        <f t="shared" si="40"/>
        <v/>
      </c>
      <c r="N200" s="165" t="str">
        <f t="shared" si="40"/>
        <v/>
      </c>
      <c r="O200" s="165" t="str">
        <f t="shared" si="40"/>
        <v/>
      </c>
      <c r="P200" s="166" t="str">
        <f t="shared" si="40"/>
        <v/>
      </c>
      <c r="Q200" s="167" t="str">
        <f t="shared" si="40"/>
        <v/>
      </c>
      <c r="R200" s="165" t="str">
        <f t="shared" ref="R200:AB200" si="41">IF($B200="","",$B200*R$203)</f>
        <v/>
      </c>
      <c r="S200" s="165" t="str">
        <f t="shared" si="41"/>
        <v/>
      </c>
      <c r="T200" s="165" t="str">
        <f t="shared" si="41"/>
        <v/>
      </c>
      <c r="U200" s="166" t="str">
        <f t="shared" si="41"/>
        <v/>
      </c>
      <c r="V200" s="167" t="str">
        <f t="shared" si="41"/>
        <v/>
      </c>
      <c r="W200" s="165" t="str">
        <f t="shared" si="41"/>
        <v/>
      </c>
      <c r="X200" s="165" t="str">
        <f t="shared" si="41"/>
        <v/>
      </c>
      <c r="Y200" s="165" t="str">
        <f t="shared" si="41"/>
        <v/>
      </c>
      <c r="Z200" s="165" t="str">
        <f t="shared" si="41"/>
        <v/>
      </c>
      <c r="AA200" s="165" t="str">
        <f t="shared" si="41"/>
        <v/>
      </c>
      <c r="AB200" s="166" t="str">
        <f t="shared" si="41"/>
        <v/>
      </c>
    </row>
    <row r="201" spans="1:29" x14ac:dyDescent="0.2">
      <c r="B201" s="168">
        <v>3</v>
      </c>
      <c r="C201" s="157" t="e">
        <f t="shared" ref="C201:AB201" si="42">AVERAGE(C3:C200)</f>
        <v>#VALUE!</v>
      </c>
      <c r="D201" s="157" t="e">
        <f t="shared" si="42"/>
        <v>#VALUE!</v>
      </c>
      <c r="E201" s="157" t="e">
        <f t="shared" si="42"/>
        <v>#VALUE!</v>
      </c>
      <c r="F201" s="157" t="e">
        <f t="shared" si="42"/>
        <v>#VALUE!</v>
      </c>
      <c r="G201" s="157" t="e">
        <f t="shared" si="42"/>
        <v>#VALUE!</v>
      </c>
      <c r="H201" s="157" t="e">
        <f t="shared" si="42"/>
        <v>#VALUE!</v>
      </c>
      <c r="I201" s="157" t="e">
        <f t="shared" si="42"/>
        <v>#VALUE!</v>
      </c>
      <c r="J201" s="157" t="e">
        <f t="shared" si="42"/>
        <v>#VALUE!</v>
      </c>
      <c r="K201" s="157" t="e">
        <f t="shared" si="42"/>
        <v>#VALUE!</v>
      </c>
      <c r="L201" s="157" t="e">
        <f t="shared" si="42"/>
        <v>#VALUE!</v>
      </c>
      <c r="M201" s="157" t="e">
        <f t="shared" si="42"/>
        <v>#VALUE!</v>
      </c>
      <c r="N201" s="157" t="e">
        <f t="shared" si="42"/>
        <v>#VALUE!</v>
      </c>
      <c r="O201" s="157" t="e">
        <f t="shared" si="42"/>
        <v>#VALUE!</v>
      </c>
      <c r="P201" s="157" t="e">
        <f t="shared" si="42"/>
        <v>#VALUE!</v>
      </c>
      <c r="Q201" s="157" t="e">
        <f t="shared" si="42"/>
        <v>#VALUE!</v>
      </c>
      <c r="R201" s="157" t="e">
        <f t="shared" si="42"/>
        <v>#VALUE!</v>
      </c>
      <c r="S201" s="157" t="e">
        <f t="shared" si="42"/>
        <v>#VALUE!</v>
      </c>
      <c r="T201" s="157" t="e">
        <f t="shared" si="42"/>
        <v>#VALUE!</v>
      </c>
      <c r="U201" s="157" t="e">
        <f t="shared" si="42"/>
        <v>#VALUE!</v>
      </c>
      <c r="V201" s="157" t="e">
        <f t="shared" si="42"/>
        <v>#VALUE!</v>
      </c>
      <c r="W201" s="157" t="e">
        <f t="shared" si="42"/>
        <v>#VALUE!</v>
      </c>
      <c r="X201" s="157" t="e">
        <f t="shared" si="42"/>
        <v>#VALUE!</v>
      </c>
      <c r="Y201" s="157" t="e">
        <f t="shared" si="42"/>
        <v>#VALUE!</v>
      </c>
      <c r="Z201" s="157" t="e">
        <f t="shared" si="42"/>
        <v>#VALUE!</v>
      </c>
      <c r="AA201" s="157" t="e">
        <f t="shared" si="42"/>
        <v>#VALUE!</v>
      </c>
      <c r="AB201" s="157" t="e">
        <f t="shared" si="42"/>
        <v>#VALUE!</v>
      </c>
    </row>
    <row r="203" spans="1:29" x14ac:dyDescent="0.2">
      <c r="B203" s="157">
        <v>1</v>
      </c>
      <c r="C203" s="157">
        <v>0.8232761206117003</v>
      </c>
      <c r="D203" s="157">
        <v>0.90353288529925957</v>
      </c>
      <c r="E203" s="157">
        <v>0.85628881098681531</v>
      </c>
      <c r="F203" s="157">
        <v>0.77303987554591092</v>
      </c>
      <c r="G203" s="157">
        <v>1.1313344279057151</v>
      </c>
      <c r="H203" s="157">
        <v>0.90896815084789628</v>
      </c>
      <c r="I203" s="157">
        <v>1.0079687920150928</v>
      </c>
      <c r="J203" s="157">
        <v>0.90696449965337789</v>
      </c>
      <c r="K203" s="157">
        <v>0.95368117135675234</v>
      </c>
      <c r="L203" s="157">
        <v>0.87308447578761483</v>
      </c>
      <c r="M203" s="157">
        <v>0.73822124382546983</v>
      </c>
      <c r="N203" s="157">
        <v>0.80133926112985798</v>
      </c>
      <c r="O203" s="157">
        <v>0.79852517136529755</v>
      </c>
      <c r="P203" s="157">
        <v>0.60142503995997998</v>
      </c>
      <c r="Q203" s="157">
        <v>2.488882911527972</v>
      </c>
      <c r="R203" s="157">
        <v>2.2466104920237604</v>
      </c>
      <c r="S203" s="157">
        <v>2.3584650213714569</v>
      </c>
      <c r="T203" s="157">
        <v>2.3513976993504686</v>
      </c>
      <c r="U203" s="157">
        <v>1.9940624219047085</v>
      </c>
      <c r="V203" s="157">
        <v>0.68894649896180182</v>
      </c>
      <c r="W203" s="157">
        <v>0.76977573005351874</v>
      </c>
      <c r="X203" s="157">
        <v>0.67704193616621733</v>
      </c>
      <c r="Y203" s="157">
        <v>0.98596037509893597</v>
      </c>
      <c r="Z203" s="157">
        <v>1.1610281396547708</v>
      </c>
      <c r="AA203" s="157">
        <v>1.6397081741158284</v>
      </c>
      <c r="AB203" s="157">
        <v>1.1497926254098161</v>
      </c>
    </row>
    <row r="205" spans="1:29" x14ac:dyDescent="0.2">
      <c r="B205" s="169">
        <v>4</v>
      </c>
    </row>
    <row r="206" spans="1:29" x14ac:dyDescent="0.2">
      <c r="B206" s="170">
        <v>4</v>
      </c>
      <c r="C206" s="170" t="e">
        <f t="shared" ref="C206:AB206" si="43">($B$205/$B$201)*C201</f>
        <v>#VALUE!</v>
      </c>
      <c r="D206" s="170" t="e">
        <f t="shared" si="43"/>
        <v>#VALUE!</v>
      </c>
      <c r="E206" s="170" t="e">
        <f t="shared" si="43"/>
        <v>#VALUE!</v>
      </c>
      <c r="F206" s="170" t="e">
        <f t="shared" si="43"/>
        <v>#VALUE!</v>
      </c>
      <c r="G206" s="170" t="e">
        <f t="shared" si="43"/>
        <v>#VALUE!</v>
      </c>
      <c r="H206" s="170" t="e">
        <f t="shared" si="43"/>
        <v>#VALUE!</v>
      </c>
      <c r="I206" s="170" t="e">
        <f t="shared" si="43"/>
        <v>#VALUE!</v>
      </c>
      <c r="J206" s="170" t="e">
        <f t="shared" si="43"/>
        <v>#VALUE!</v>
      </c>
      <c r="K206" s="170" t="e">
        <f t="shared" si="43"/>
        <v>#VALUE!</v>
      </c>
      <c r="L206" s="170" t="e">
        <f t="shared" si="43"/>
        <v>#VALUE!</v>
      </c>
      <c r="M206" s="170" t="e">
        <f t="shared" si="43"/>
        <v>#VALUE!</v>
      </c>
      <c r="N206" s="170" t="e">
        <f t="shared" si="43"/>
        <v>#VALUE!</v>
      </c>
      <c r="O206" s="170" t="e">
        <f t="shared" si="43"/>
        <v>#VALUE!</v>
      </c>
      <c r="P206" s="170" t="e">
        <f t="shared" si="43"/>
        <v>#VALUE!</v>
      </c>
      <c r="Q206" s="170" t="e">
        <f t="shared" si="43"/>
        <v>#VALUE!</v>
      </c>
      <c r="R206" s="170" t="e">
        <f t="shared" si="43"/>
        <v>#VALUE!</v>
      </c>
      <c r="S206" s="170" t="e">
        <f t="shared" si="43"/>
        <v>#VALUE!</v>
      </c>
      <c r="T206" s="170" t="e">
        <f t="shared" si="43"/>
        <v>#VALUE!</v>
      </c>
      <c r="U206" s="170" t="e">
        <f t="shared" si="43"/>
        <v>#VALUE!</v>
      </c>
      <c r="V206" s="170" t="e">
        <f t="shared" si="43"/>
        <v>#VALUE!</v>
      </c>
      <c r="W206" s="170" t="e">
        <f t="shared" si="43"/>
        <v>#VALUE!</v>
      </c>
      <c r="X206" s="170" t="e">
        <f t="shared" si="43"/>
        <v>#VALUE!</v>
      </c>
      <c r="Y206" s="170" t="e">
        <f t="shared" si="43"/>
        <v>#VALUE!</v>
      </c>
      <c r="Z206" s="170" t="e">
        <f t="shared" si="43"/>
        <v>#VALUE!</v>
      </c>
      <c r="AA206" s="170" t="e">
        <f t="shared" si="43"/>
        <v>#VALUE!</v>
      </c>
      <c r="AB206" s="170" t="e">
        <f t="shared" si="43"/>
        <v>#VALUE!</v>
      </c>
    </row>
  </sheetData>
  <sortState xmlns:xlrd2="http://schemas.microsoft.com/office/spreadsheetml/2017/richdata2" ref="A3:AB126">
    <sortCondition ref="A3:A126"/>
  </sortState>
  <mergeCells count="5">
    <mergeCell ref="V1:AB1"/>
    <mergeCell ref="B1:F1"/>
    <mergeCell ref="G1:K1"/>
    <mergeCell ref="L1:P1"/>
    <mergeCell ref="Q1:U1"/>
  </mergeCells>
  <conditionalFormatting sqref="A3:A45">
    <cfRule type="expression" dxfId="6" priority="55">
      <formula>RIGHT(A3,2)="e."</formula>
    </cfRule>
  </conditionalFormatting>
  <conditionalFormatting sqref="A3:A199">
    <cfRule type="containsText" dxfId="5" priority="1" operator="containsText" text="Bíó:">
      <formula>NOT(ISERROR(SEARCH("Bíó:",A3)))</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14"/>
  <sheetViews>
    <sheetView workbookViewId="0">
      <selection activeCell="S12" sqref="S12:AE15"/>
    </sheetView>
  </sheetViews>
  <sheetFormatPr defaultColWidth="2.83203125" defaultRowHeight="11.25" x14ac:dyDescent="0.2"/>
  <cols>
    <col min="1" max="1" width="2.6640625" style="2" bestFit="1" customWidth="1"/>
    <col min="2" max="2" width="3.1640625" style="2" bestFit="1" customWidth="1"/>
    <col min="3" max="3" width="9" style="1" bestFit="1" customWidth="1"/>
    <col min="4" max="4" width="2.6640625" style="1" bestFit="1" customWidth="1"/>
    <col min="5" max="5" width="2.83203125" style="1" customWidth="1"/>
    <col min="6" max="6" width="7.33203125" style="1" bestFit="1" customWidth="1"/>
    <col min="7" max="7" width="5.6640625" style="1" bestFit="1" customWidth="1"/>
    <col min="8" max="8" width="2.83203125" style="1" customWidth="1"/>
    <col min="9" max="9" width="4.83203125" style="1" bestFit="1" customWidth="1"/>
    <col min="10" max="11" width="5.6640625" style="1" bestFit="1" customWidth="1"/>
    <col min="12" max="12" width="2.83203125" style="1" customWidth="1"/>
    <col min="13" max="13" width="13.83203125" style="1" customWidth="1"/>
    <col min="14" max="14" width="11.33203125" style="1" bestFit="1" customWidth="1"/>
    <col min="15" max="15" width="10.33203125" style="1" bestFit="1" customWidth="1"/>
    <col min="16" max="19" width="8" style="1" bestFit="1" customWidth="1"/>
    <col min="20" max="23" width="10" style="1" customWidth="1"/>
    <col min="24" max="31" width="10"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48"/>
    <col min="44" max="44" width="8.33203125" bestFit="1" customWidth="1"/>
    <col min="45" max="46" width="6.83203125" customWidth="1"/>
    <col min="47" max="47" width="50.1640625" customWidth="1"/>
    <col min="49" max="49" width="2.83203125" style="48"/>
  </cols>
  <sheetData>
    <row r="1" spans="1:47" ht="11.25" customHeight="1" x14ac:dyDescent="0.2">
      <c r="B1" s="2">
        <v>1</v>
      </c>
      <c r="C1" s="4">
        <v>3210</v>
      </c>
      <c r="D1" s="1" t="str">
        <f t="shared" ref="D1:D28" si="0">IF(A1="","",A1)</f>
        <v/>
      </c>
      <c r="F1" s="268" t="s">
        <v>23</v>
      </c>
      <c r="G1" s="268"/>
      <c r="I1" s="270" t="s">
        <v>12</v>
      </c>
      <c r="J1" s="270"/>
      <c r="K1" s="270"/>
      <c r="N1" s="43"/>
      <c r="O1" s="178" t="str">
        <f>M31</f>
        <v>18 ára og eldri</v>
      </c>
      <c r="P1" s="43"/>
      <c r="Q1" s="43"/>
      <c r="R1" s="43"/>
      <c r="S1" s="274" t="str">
        <f>IF('Línuleg verðskrá'!$S$1=1,"GRP verðskrá","GRP price list")</f>
        <v>GRP verðskrá</v>
      </c>
      <c r="T1" s="275"/>
      <c r="U1" s="275"/>
      <c r="V1" s="275"/>
      <c r="W1" s="275"/>
      <c r="X1" s="275"/>
      <c r="Y1" s="275"/>
      <c r="Z1" s="275"/>
      <c r="AA1" s="275"/>
      <c r="AB1" s="275"/>
      <c r="AC1" s="275"/>
      <c r="AD1" s="275"/>
      <c r="AE1" s="276"/>
      <c r="AG1" s="24" t="s">
        <v>22</v>
      </c>
      <c r="AI1" s="24" t="s">
        <v>150</v>
      </c>
      <c r="AK1" s="24" t="s">
        <v>87</v>
      </c>
      <c r="AM1" s="305" t="s">
        <v>12</v>
      </c>
      <c r="AN1" s="305"/>
      <c r="AR1" s="302" t="str">
        <f>IF('Línuleg verðskrá'!$S$1=1,"Skjáauglýsingar","Screen advertisements")</f>
        <v>Skjáauglýsingar</v>
      </c>
      <c r="AS1" s="303"/>
      <c r="AT1" s="303"/>
      <c r="AU1" s="304"/>
    </row>
    <row r="2" spans="1:47" ht="11.25" customHeight="1" x14ac:dyDescent="0.2">
      <c r="B2" s="2">
        <v>2</v>
      </c>
      <c r="C2" s="4">
        <v>3510</v>
      </c>
      <c r="D2" s="1" t="str">
        <f t="shared" si="0"/>
        <v/>
      </c>
      <c r="F2" s="1" t="s">
        <v>24</v>
      </c>
      <c r="G2" s="6">
        <v>0.125</v>
      </c>
      <c r="I2" s="269" t="s">
        <v>27</v>
      </c>
      <c r="J2" s="269"/>
      <c r="K2" s="269"/>
      <c r="S2" s="271" t="str">
        <f>IF('Línuleg verðskrá'!$S$1=1,"Verð reiknast með margfeldi valinna punkta og verð á lengd auglýsingu hér að neðan. 15% álag er í nóvember og desember.","The price is calculated using a multiple of the selected points and the price for the length of the ad below.")</f>
        <v>Verð reiknast með margfeldi valinna punkta og verð á lengd auglýsingu hér að neðan. 15% álag er í nóvember og desember.</v>
      </c>
      <c r="T2" s="272"/>
      <c r="U2" s="272"/>
      <c r="V2" s="272"/>
      <c r="W2" s="272"/>
      <c r="X2" s="272"/>
      <c r="Y2" s="272"/>
      <c r="Z2" s="272"/>
      <c r="AA2" s="272"/>
      <c r="AB2" s="272"/>
      <c r="AC2" s="272"/>
      <c r="AD2" s="272"/>
      <c r="AE2" s="273"/>
      <c r="AG2" s="27" t="s">
        <v>88</v>
      </c>
      <c r="AH2" s="10"/>
      <c r="AI2" s="27" t="s">
        <v>89</v>
      </c>
      <c r="AJ2" s="10"/>
      <c r="AK2" s="27" t="s">
        <v>89</v>
      </c>
      <c r="AM2" s="27" t="s">
        <v>90</v>
      </c>
      <c r="AN2" s="27" t="s">
        <v>43</v>
      </c>
      <c r="AR2" s="49" t="str">
        <f>IF('Línuleg verðskrá'!$S$1=1,"Birtingar","Publ.")</f>
        <v>Birtingar</v>
      </c>
      <c r="AS2" s="306" t="str">
        <f>IF('Línuleg verðskrá'!$S$1=1,"Verð án vsk.","Price excl. VAT")</f>
        <v>Verð án vsk.</v>
      </c>
      <c r="AT2" s="307"/>
      <c r="AU2" s="293" t="str">
        <f>IF('Línuleg verðskrá'!$S$1=1,"Tvær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ht="11.25" customHeight="1" x14ac:dyDescent="0.2">
      <c r="A3" s="2" t="s">
        <v>2</v>
      </c>
      <c r="B3" s="2">
        <v>3</v>
      </c>
      <c r="C3" s="4">
        <v>3710</v>
      </c>
      <c r="D3" s="1" t="str">
        <f t="shared" si="0"/>
        <v>B</v>
      </c>
      <c r="F3" s="1" t="s">
        <v>25</v>
      </c>
      <c r="G3" s="6">
        <v>0.16666666666666666</v>
      </c>
      <c r="I3" s="7"/>
      <c r="J3" s="8" t="s">
        <v>28</v>
      </c>
      <c r="K3" s="8" t="s">
        <v>29</v>
      </c>
      <c r="P3" s="34"/>
      <c r="Q3" s="34"/>
      <c r="R3" s="34"/>
      <c r="S3" s="179"/>
      <c r="T3" s="180">
        <v>5</v>
      </c>
      <c r="U3" s="180">
        <v>10</v>
      </c>
      <c r="V3" s="180">
        <v>15</v>
      </c>
      <c r="W3" s="180">
        <v>20</v>
      </c>
      <c r="X3" s="180">
        <v>25</v>
      </c>
      <c r="Y3" s="180">
        <v>30</v>
      </c>
      <c r="Z3" s="180">
        <v>35</v>
      </c>
      <c r="AA3" s="180">
        <v>40</v>
      </c>
      <c r="AB3" s="180">
        <v>45</v>
      </c>
      <c r="AC3" s="180">
        <v>50</v>
      </c>
      <c r="AD3" s="180">
        <v>55</v>
      </c>
      <c r="AE3" s="181">
        <v>60</v>
      </c>
      <c r="AG3" s="26">
        <v>0.875</v>
      </c>
      <c r="AI3" s="25">
        <v>2</v>
      </c>
      <c r="AK3" s="25">
        <v>3</v>
      </c>
      <c r="AM3" s="31" t="s">
        <v>91</v>
      </c>
      <c r="AN3" s="32"/>
      <c r="AR3" s="46" t="str">
        <f>IF('Línuleg verðskrá'!$S$1=1,"1 dagur","1 day")</f>
        <v>1 dagur</v>
      </c>
      <c r="AS3" s="289">
        <v>39900</v>
      </c>
      <c r="AT3" s="290"/>
      <c r="AU3" s="294"/>
    </row>
    <row r="4" spans="1:47" ht="11.25" customHeight="1" x14ac:dyDescent="0.2">
      <c r="A4" s="2" t="s">
        <v>16</v>
      </c>
      <c r="B4" s="2">
        <v>4</v>
      </c>
      <c r="C4" s="4">
        <v>3910</v>
      </c>
      <c r="D4" s="1" t="str">
        <f t="shared" si="0"/>
        <v>C</v>
      </c>
      <c r="I4" t="s">
        <v>30</v>
      </c>
      <c r="J4" s="9">
        <v>0.125</v>
      </c>
      <c r="K4" s="9">
        <v>0.74791666666666667</v>
      </c>
      <c r="P4" s="34"/>
      <c r="Q4" s="34"/>
      <c r="R4" s="34"/>
      <c r="S4" s="74" t="s">
        <v>167</v>
      </c>
      <c r="T4" s="75">
        <f>ROUND(IFERROR(VLOOKUP($O$1,$M$31:$Y$57,MATCH(T$3,$M$30:$Y$30,0),0),VLOOKUP($O$1,$L$31:$Y$57,MATCH(T$3,$L$30:$Y$30,0),0))*VLOOKUP(MONTH('Vika 36'!$B$4),$AA$31:$AB$42,2,0)*1.2,0)</f>
        <v>1626</v>
      </c>
      <c r="U4" s="75">
        <f>ROUND(IFERROR(VLOOKUP($O$1,$M$31:$Y$57,MATCH(U$3,$M$30:$Y$30,0),0),VLOOKUP($O$1,$L$31:$Y$57,MATCH(U$3,$L$30:$Y$30,0),0))*VLOOKUP(MONTH('Vika 36'!$B$4),$AA$31:$AB$42,2,0)*1.2,0)</f>
        <v>2504</v>
      </c>
      <c r="V4" s="75">
        <f>ROUND(IFERROR(VLOOKUP($O$1,$M$31:$Y$57,MATCH(V$3,$M$30:$Y$30,0),0),VLOOKUP($O$1,$L$31:$Y$57,MATCH(V$3,$L$30:$Y$30,0),0))*VLOOKUP(MONTH('Vika 36'!$B$4),$AA$31:$AB$42,2,0)*1.2,0)</f>
        <v>3558</v>
      </c>
      <c r="W4" s="75">
        <f>ROUND(IFERROR(VLOOKUP($O$1,$M$31:$Y$57,MATCH(W$3,$M$30:$Y$30,0),0),VLOOKUP($O$1,$L$31:$Y$57,MATCH(W$3,$L$30:$Y$30,0),0))*VLOOKUP(MONTH('Vika 36'!$B$4),$AA$31:$AB$42,2,0)*1.2,0)</f>
        <v>4622</v>
      </c>
      <c r="X4" s="75">
        <f>ROUND(IFERROR(VLOOKUP($O$1,$M$31:$Y$57,MATCH(X$3,$M$30:$Y$30,0),0),VLOOKUP($O$1,$L$31:$Y$57,MATCH(X$3,$L$30:$Y$30,0),0))*VLOOKUP(MONTH('Vika 36'!$B$4),$AA$31:$AB$42,2,0)*1.2,0)</f>
        <v>5610</v>
      </c>
      <c r="Y4" s="75">
        <f>ROUND(IFERROR(VLOOKUP($O$1,$M$31:$Y$57,MATCH(Y$3,$M$30:$Y$30,0),0),VLOOKUP($O$1,$L$31:$Y$57,MATCH(Y$3,$L$30:$Y$30,0),0))*VLOOKUP(MONTH('Vika 36'!$B$4),$AA$31:$AB$42,2,0)*1.2,0)</f>
        <v>6598</v>
      </c>
      <c r="Z4" s="75">
        <f>ROUND(IFERROR(VLOOKUP($O$1,$M$31:$Y$57,MATCH(Z$3,$M$30:$Y$30,0),0),VLOOKUP($O$1,$L$31:$Y$57,MATCH(Z$3,$L$30:$Y$30,0),0))*VLOOKUP(MONTH('Vika 36'!$B$4),$AA$31:$AB$42,2,0)*1.2,0)</f>
        <v>7211</v>
      </c>
      <c r="AA4" s="75">
        <f>ROUND(IFERROR(VLOOKUP($O$1,$M$31:$Y$57,MATCH(AA$3,$M$30:$Y$30,0),0),VLOOKUP($O$1,$L$31:$Y$57,MATCH(AA$3,$L$30:$Y$30,0),0))*VLOOKUP(MONTH('Vika 36'!$B$4),$AA$31:$AB$42,2,0)*1.2,0)</f>
        <v>7836</v>
      </c>
      <c r="AB4" s="75">
        <f>ROUND(IFERROR(VLOOKUP($O$1,$M$31:$Y$57,MATCH(AB$3,$M$30:$Y$30,0),0),VLOOKUP($O$1,$L$31:$Y$57,MATCH(AB$3,$L$30:$Y$30,0),0))*VLOOKUP(MONTH('Vika 36'!$B$4),$AA$31:$AB$42,2,0)*1.2,0)</f>
        <v>8470</v>
      </c>
      <c r="AC4" s="75">
        <f>ROUND(IFERROR(VLOOKUP($O$1,$M$31:$Y$57,MATCH(AC$3,$M$30:$Y$30,0),0),VLOOKUP($O$1,$L$31:$Y$57,MATCH(AC$3,$L$30:$Y$30,0),0))*VLOOKUP(MONTH('Vika 36'!$B$4),$AA$31:$AB$42,2,0)*1.2,0)</f>
        <v>9085</v>
      </c>
      <c r="AD4" s="75">
        <f>ROUND(IFERROR(VLOOKUP($O$1,$M$31:$Y$57,MATCH(AD$3,$M$30:$Y$30,0),0),VLOOKUP($O$1,$L$31:$Y$57,MATCH(AD$3,$L$30:$Y$30,0),0))*VLOOKUP(MONTH('Vika 36'!$B$4),$AA$31:$AB$42,2,0)*1.2,0)</f>
        <v>9746</v>
      </c>
      <c r="AE4" s="76">
        <f>ROUND(IFERROR(VLOOKUP($O$1,$M$31:$Y$57,MATCH(AE$3,$M$30:$Y$30,0),0),VLOOKUP($O$1,$L$31:$Y$57,MATCH(AE$3,$L$30:$Y$30,0),0))*VLOOKUP(MONTH('Vika 36'!$B$4),$AA$31:$AB$42,2,0)*1.2,0)</f>
        <v>10474</v>
      </c>
      <c r="AG4" s="26">
        <v>0.91736111111111107</v>
      </c>
      <c r="AI4" s="25">
        <v>4</v>
      </c>
      <c r="AK4" s="25">
        <v>5</v>
      </c>
      <c r="AM4" s="28">
        <f>'Vika 36'!B4</f>
        <v>45173</v>
      </c>
      <c r="AN4" s="30"/>
      <c r="AR4" s="46" t="str">
        <f>IF('Línuleg verðskrá'!$S$1=1,"2 dagar","2 days")</f>
        <v>2 dagar</v>
      </c>
      <c r="AS4" s="289">
        <v>67900</v>
      </c>
      <c r="AT4" s="290"/>
      <c r="AU4" s="295"/>
    </row>
    <row r="5" spans="1:47" ht="11.25" customHeight="1" x14ac:dyDescent="0.2">
      <c r="A5" s="2" t="s">
        <v>9</v>
      </c>
      <c r="B5" s="2">
        <v>5</v>
      </c>
      <c r="C5" s="4">
        <v>4210</v>
      </c>
      <c r="D5" s="1" t="str">
        <f t="shared" si="0"/>
        <v>D</v>
      </c>
      <c r="F5" s="268" t="s">
        <v>26</v>
      </c>
      <c r="G5" s="268"/>
      <c r="I5" t="s">
        <v>31</v>
      </c>
      <c r="J5" s="9">
        <v>0.74791666666666667</v>
      </c>
      <c r="K5" s="9">
        <v>0.80208333333333337</v>
      </c>
      <c r="M5" s="277" t="str">
        <f>IF('Línuleg verðskrá'!$S$1=1,"Sekúnduverð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70" t="str">
        <f>IF('Línuleg verðskrá'!$S$1=1,"VL","Key")</f>
        <v>VL</v>
      </c>
      <c r="O5" s="71" t="str">
        <f>IF('Línuleg verðskrá'!$S$1=1,"Verð án vsk.","Pr. ex. VAT")</f>
        <v>Verð án vsk.</v>
      </c>
      <c r="P5" s="34"/>
      <c r="Q5" s="34"/>
      <c r="R5" s="34"/>
      <c r="S5" s="182"/>
      <c r="T5" s="182"/>
      <c r="U5" s="182"/>
      <c r="V5" s="182"/>
      <c r="W5" s="182"/>
      <c r="X5" s="183"/>
      <c r="Y5" s="183"/>
      <c r="Z5" s="183"/>
      <c r="AA5" s="183"/>
      <c r="AB5" s="183"/>
      <c r="AC5" s="183"/>
      <c r="AD5" s="183"/>
      <c r="AE5" s="183"/>
      <c r="AG5" s="25"/>
      <c r="AI5" s="25">
        <v>6</v>
      </c>
      <c r="AK5" s="25">
        <v>7</v>
      </c>
      <c r="AM5" s="28">
        <f>IF(AM4="","",IF(AM4+1&gt;$AK$11,"",AM4+1))</f>
        <v>45174</v>
      </c>
      <c r="AN5" s="30"/>
      <c r="AR5" s="46" t="str">
        <f>IF('Línuleg verðskrá'!$S$1=1,"3 dagar","3 days")</f>
        <v>3 dagar</v>
      </c>
      <c r="AS5" s="289">
        <v>95900</v>
      </c>
      <c r="AT5" s="290"/>
      <c r="AU5" s="296" t="str">
        <f>IF('Línuleg verðskrá'!$S$1=1,"Vikupakki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2" t="s">
        <v>11</v>
      </c>
      <c r="B6" s="2">
        <v>6</v>
      </c>
      <c r="C6" s="4">
        <v>4510</v>
      </c>
      <c r="D6" s="1" t="str">
        <f t="shared" si="0"/>
        <v>E</v>
      </c>
      <c r="F6" s="1" t="s">
        <v>24</v>
      </c>
      <c r="G6" s="6">
        <v>0.125</v>
      </c>
      <c r="I6" t="s">
        <v>30</v>
      </c>
      <c r="J6" s="9">
        <v>0.89583333333333337</v>
      </c>
      <c r="K6" s="9">
        <v>1.0416666666666667</v>
      </c>
      <c r="M6" s="278"/>
      <c r="N6" s="72" t="s">
        <v>19</v>
      </c>
      <c r="O6" s="73">
        <v>350</v>
      </c>
      <c r="P6" s="34"/>
      <c r="Q6" s="34"/>
      <c r="R6" s="34"/>
      <c r="S6" s="280" t="str">
        <f>IF('Línuleg verðskrá'!$S$1=1,"*IDOL verðskrá","*IDOL price list")</f>
        <v>*IDOL verðskrá</v>
      </c>
      <c r="T6" s="298"/>
      <c r="U6" s="298"/>
      <c r="V6" s="298"/>
      <c r="W6" s="298"/>
      <c r="X6" s="298"/>
      <c r="Y6" s="298"/>
      <c r="Z6" s="298"/>
      <c r="AA6" s="298"/>
      <c r="AB6" s="281"/>
      <c r="AC6" s="184"/>
      <c r="AD6" s="280" t="s">
        <v>212</v>
      </c>
      <c r="AE6" s="281"/>
      <c r="AG6" s="25"/>
      <c r="AI6" s="25"/>
      <c r="AK6" s="25"/>
      <c r="AM6" s="28">
        <f t="shared" ref="AM6:AM66" si="1">IF(AM5="","",IF(AM5+1&gt;$AK$11,"",AM5+1))</f>
        <v>45175</v>
      </c>
      <c r="AN6" s="30"/>
      <c r="AR6" s="46" t="str">
        <f>IF('Línuleg verðskrá'!$S$1=1,"4 dagar","4 days")</f>
        <v>4 dagar</v>
      </c>
      <c r="AS6" s="289">
        <v>123900</v>
      </c>
      <c r="AT6" s="290"/>
      <c r="AU6" s="297"/>
    </row>
    <row r="7" spans="1:47" ht="11.25" customHeight="1" x14ac:dyDescent="0.2">
      <c r="A7" s="2" t="s">
        <v>4</v>
      </c>
      <c r="B7" s="2">
        <v>7</v>
      </c>
      <c r="C7" s="4">
        <v>4710</v>
      </c>
      <c r="D7" s="1" t="str">
        <f t="shared" si="0"/>
        <v>F</v>
      </c>
      <c r="F7" s="1" t="s">
        <v>25</v>
      </c>
      <c r="G7" s="6">
        <v>0.16666666666666666</v>
      </c>
      <c r="I7"/>
      <c r="J7"/>
      <c r="K7"/>
      <c r="M7" s="278"/>
      <c r="N7" s="72" t="s">
        <v>20</v>
      </c>
      <c r="O7" s="73">
        <v>550</v>
      </c>
      <c r="S7" s="199"/>
      <c r="T7" s="198">
        <v>10</v>
      </c>
      <c r="U7" s="198">
        <v>11</v>
      </c>
      <c r="V7" s="198">
        <v>12</v>
      </c>
      <c r="W7" s="198">
        <v>13</v>
      </c>
      <c r="X7" s="198">
        <v>14</v>
      </c>
      <c r="Y7" s="198">
        <v>15</v>
      </c>
      <c r="Z7" s="198">
        <v>20</v>
      </c>
      <c r="AA7" s="198">
        <v>25</v>
      </c>
      <c r="AB7" s="200">
        <v>30</v>
      </c>
      <c r="AC7" s="185"/>
      <c r="AD7" s="282" t="s">
        <v>275</v>
      </c>
      <c r="AE7" s="283"/>
      <c r="AG7" s="25"/>
      <c r="AI7" s="25"/>
      <c r="AK7" s="25"/>
      <c r="AM7" s="28">
        <f t="shared" si="1"/>
        <v>45176</v>
      </c>
      <c r="AN7" s="30"/>
      <c r="AR7" s="46" t="str">
        <f>IF('Línuleg verðskrá'!$S$1=1,"1 vika","1 week")</f>
        <v>1 vika</v>
      </c>
      <c r="AS7" s="289">
        <v>139900</v>
      </c>
      <c r="AT7" s="290"/>
      <c r="AU7" s="297" t="str">
        <f>IF('Línuleg verðskrá'!$S$1=1,"Mánaðarpakki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2" t="s">
        <v>10</v>
      </c>
      <c r="B8" s="2">
        <v>8</v>
      </c>
      <c r="C8" s="4">
        <v>4910</v>
      </c>
      <c r="D8" s="1" t="str">
        <f t="shared" si="0"/>
        <v>G</v>
      </c>
      <c r="I8" s="270" t="s">
        <v>12</v>
      </c>
      <c r="J8" s="270"/>
      <c r="K8" s="270"/>
      <c r="M8" s="278"/>
      <c r="N8" s="72" t="s">
        <v>21</v>
      </c>
      <c r="O8" s="73">
        <v>950</v>
      </c>
      <c r="P8" s="11"/>
      <c r="Q8" s="11"/>
      <c r="R8" s="11"/>
      <c r="S8" s="201" t="s">
        <v>13</v>
      </c>
      <c r="T8" s="197">
        <v>47300</v>
      </c>
      <c r="U8" s="197">
        <v>51500</v>
      </c>
      <c r="V8" s="197">
        <v>55300</v>
      </c>
      <c r="W8" s="197">
        <v>59600</v>
      </c>
      <c r="X8" s="197">
        <v>63500</v>
      </c>
      <c r="Y8" s="197">
        <v>67300</v>
      </c>
      <c r="Z8" s="197">
        <v>87400</v>
      </c>
      <c r="AA8" s="197">
        <v>106100</v>
      </c>
      <c r="AB8" s="202">
        <v>124700</v>
      </c>
      <c r="AC8" s="186"/>
      <c r="AD8" s="282"/>
      <c r="AE8" s="283"/>
      <c r="AG8" s="25"/>
      <c r="AI8" s="25"/>
      <c r="AK8" s="25"/>
      <c r="AM8" s="28">
        <f t="shared" si="1"/>
        <v>45177</v>
      </c>
      <c r="AN8" s="30"/>
      <c r="AR8" s="46" t="str">
        <f>IF('Línuleg verðskrá'!$S$1=1,"2 vikur","2 weeks")</f>
        <v>2 vikur</v>
      </c>
      <c r="AS8" s="289">
        <v>249900</v>
      </c>
      <c r="AT8" s="290"/>
      <c r="AU8" s="297"/>
    </row>
    <row r="9" spans="1:47" x14ac:dyDescent="0.2">
      <c r="A9" s="2" t="s">
        <v>0</v>
      </c>
      <c r="B9" s="2">
        <v>9</v>
      </c>
      <c r="C9" s="4">
        <v>5210</v>
      </c>
      <c r="D9" s="1" t="str">
        <f t="shared" si="0"/>
        <v>H</v>
      </c>
      <c r="F9" s="23"/>
      <c r="I9" s="269" t="s">
        <v>32</v>
      </c>
      <c r="J9" s="269"/>
      <c r="K9" s="269"/>
      <c r="M9" s="278"/>
      <c r="N9" s="72" t="s">
        <v>3</v>
      </c>
      <c r="O9" s="73">
        <v>1250</v>
      </c>
      <c r="P9" s="11"/>
      <c r="Q9" s="11"/>
      <c r="R9" s="11"/>
      <c r="S9" s="203" t="s">
        <v>14</v>
      </c>
      <c r="T9" s="204">
        <f>ROUND(T8*1.25,-1)</f>
        <v>59130</v>
      </c>
      <c r="U9" s="204">
        <f t="shared" ref="U9:AB9" si="2">ROUND(U8*1.25,-1)</f>
        <v>64380</v>
      </c>
      <c r="V9" s="204">
        <f t="shared" si="2"/>
        <v>69130</v>
      </c>
      <c r="W9" s="204">
        <f t="shared" si="2"/>
        <v>74500</v>
      </c>
      <c r="X9" s="204">
        <f t="shared" si="2"/>
        <v>79380</v>
      </c>
      <c r="Y9" s="204">
        <f t="shared" si="2"/>
        <v>84130</v>
      </c>
      <c r="Z9" s="204">
        <f t="shared" si="2"/>
        <v>109250</v>
      </c>
      <c r="AA9" s="204">
        <f t="shared" si="2"/>
        <v>132630</v>
      </c>
      <c r="AB9" s="205">
        <f t="shared" si="2"/>
        <v>155880</v>
      </c>
      <c r="AC9" s="183"/>
      <c r="AD9" s="284"/>
      <c r="AE9" s="285"/>
      <c r="AG9" s="25"/>
      <c r="AI9" s="25"/>
      <c r="AK9" s="25"/>
      <c r="AM9" s="28">
        <f t="shared" si="1"/>
        <v>45178</v>
      </c>
      <c r="AN9" s="30"/>
      <c r="AR9" s="46" t="str">
        <f>IF('Línuleg verðskrá'!$S$1=1,"3 vikur","3 weeks")</f>
        <v>3 vikur</v>
      </c>
      <c r="AS9" s="289">
        <v>339900</v>
      </c>
      <c r="AT9" s="290"/>
      <c r="AU9" s="133" t="str">
        <f>IF('Línuleg verðskrá'!$S$1=1,"Hver skjáauglýsing er átta sekúndur að lengd.","Each screen advertisement is 8 seconds in length.")</f>
        <v>Hver skjáauglýsing er átta sekúndur að lengd.</v>
      </c>
    </row>
    <row r="10" spans="1:47" ht="11.25" customHeight="1" x14ac:dyDescent="0.2">
      <c r="A10" s="2" t="s">
        <v>6</v>
      </c>
      <c r="B10" s="2">
        <v>10</v>
      </c>
      <c r="C10" s="4">
        <v>5510</v>
      </c>
      <c r="D10" s="1" t="str">
        <f t="shared" si="0"/>
        <v>I</v>
      </c>
      <c r="F10" s="23"/>
      <c r="I10" s="7"/>
      <c r="J10" s="8" t="s">
        <v>28</v>
      </c>
      <c r="K10" s="8" t="s">
        <v>29</v>
      </c>
      <c r="M10" s="278"/>
      <c r="N10" s="60"/>
      <c r="O10" s="67"/>
      <c r="P10" s="45"/>
      <c r="Q10" s="45"/>
      <c r="R10" s="45"/>
      <c r="S10" s="43"/>
      <c r="T10" s="44"/>
      <c r="U10" s="44"/>
      <c r="V10" s="44"/>
      <c r="W10" s="44"/>
      <c r="X10" s="44"/>
      <c r="Y10" s="44"/>
      <c r="Z10" s="44"/>
      <c r="AA10" s="44"/>
      <c r="AB10" s="44"/>
      <c r="AC10" s="44"/>
      <c r="AD10" s="44"/>
      <c r="AE10" s="44"/>
      <c r="AM10" s="28">
        <f t="shared" si="1"/>
        <v>45179</v>
      </c>
      <c r="AN10" s="30"/>
      <c r="AR10" s="47" t="str">
        <f>IF('Línuleg verðskrá'!$S$1=1,"Mánuður","Month")</f>
        <v>Mánuður</v>
      </c>
      <c r="AS10" s="291">
        <v>429900</v>
      </c>
      <c r="AT10" s="292"/>
      <c r="AU10" s="134" t="str">
        <f>IF('Línuleg verðskrá'!$S$1=1,"Birt með fyrirvara um breytingar.","Published subject to change.")</f>
        <v>Birt með fyrirvara um breytingar.</v>
      </c>
    </row>
    <row r="11" spans="1:47" x14ac:dyDescent="0.2">
      <c r="A11" s="2" t="s">
        <v>8</v>
      </c>
      <c r="B11" s="2">
        <v>11</v>
      </c>
      <c r="C11" s="4">
        <v>5710</v>
      </c>
      <c r="D11" s="1" t="str">
        <f t="shared" si="0"/>
        <v>J</v>
      </c>
      <c r="F11" s="23"/>
      <c r="I11" t="s">
        <v>30</v>
      </c>
      <c r="J11" s="9">
        <v>0.125</v>
      </c>
      <c r="K11" s="9">
        <v>0.74791666666666667</v>
      </c>
      <c r="M11" s="278"/>
      <c r="N11" s="64"/>
      <c r="O11" s="65"/>
      <c r="AK11" s="50">
        <f>MAX('Vika 36:Vika 44'!B4:T4)</f>
        <v>45235</v>
      </c>
      <c r="AM11" s="28">
        <f t="shared" si="1"/>
        <v>45180</v>
      </c>
      <c r="AN11" s="30"/>
    </row>
    <row r="12" spans="1:47" ht="11.25" customHeight="1" x14ac:dyDescent="0.2">
      <c r="A12" s="2" t="s">
        <v>17</v>
      </c>
      <c r="B12" s="2">
        <v>12</v>
      </c>
      <c r="C12" s="4">
        <v>5910</v>
      </c>
      <c r="D12" s="1" t="str">
        <f t="shared" si="0"/>
        <v>K</v>
      </c>
      <c r="F12" s="23"/>
      <c r="I12" t="s">
        <v>31</v>
      </c>
      <c r="J12" s="9">
        <v>0.74791666666666667</v>
      </c>
      <c r="K12" s="9">
        <v>0.80208333333333337</v>
      </c>
      <c r="M12" s="278"/>
      <c r="N12" s="62"/>
      <c r="O12" s="63"/>
      <c r="P12" s="2"/>
      <c r="Q12" s="2"/>
      <c r="R12" s="2"/>
      <c r="S12" s="286" t="str">
        <f>IF('Línuleg verðskrá'!$S$1=1,"GRP verðskrá í nóvember og desember","GRP price list November and December")</f>
        <v>GRP verðskrá í nóvember og desember</v>
      </c>
      <c r="T12" s="287"/>
      <c r="U12" s="287"/>
      <c r="V12" s="287"/>
      <c r="W12" s="287"/>
      <c r="X12" s="287"/>
      <c r="Y12" s="287"/>
      <c r="Z12" s="287"/>
      <c r="AA12" s="287"/>
      <c r="AB12" s="287"/>
      <c r="AC12" s="287"/>
      <c r="AD12" s="287"/>
      <c r="AE12" s="288"/>
      <c r="AM12" s="28">
        <f t="shared" si="1"/>
        <v>45181</v>
      </c>
      <c r="AN12" s="30"/>
    </row>
    <row r="13" spans="1:47" x14ac:dyDescent="0.2">
      <c r="A13" s="2" t="s">
        <v>18</v>
      </c>
      <c r="B13" s="2">
        <v>13</v>
      </c>
      <c r="C13" s="4">
        <v>6210</v>
      </c>
      <c r="D13" s="1" t="str">
        <f t="shared" si="0"/>
        <v>L</v>
      </c>
      <c r="F13" s="23"/>
      <c r="I13" t="s">
        <v>30</v>
      </c>
      <c r="J13" s="9">
        <v>0.89583333333333337</v>
      </c>
      <c r="K13" s="9">
        <v>0.99930555555555556</v>
      </c>
      <c r="M13" s="279"/>
      <c r="N13" s="68"/>
      <c r="O13" s="69"/>
      <c r="P13" s="2"/>
      <c r="Q13" s="2"/>
      <c r="R13" s="2"/>
      <c r="S13" s="299" t="str">
        <f>IF('Línuleg verðskrá'!$S$1=1,"Verð reiknast með margfeldi valinna punkta og verð á lengd auglýsingu hér að neðan. 15% álag er í nóvember og desember.","The price is calculated using a multiple of the selected points and the price for the length of the ad below.")</f>
        <v>Verð reiknast með margfeldi valinna punkta og verð á lengd auglýsingu hér að neðan. 15% álag er í nóvember og desember.</v>
      </c>
      <c r="T13" s="300"/>
      <c r="U13" s="300"/>
      <c r="V13" s="300"/>
      <c r="W13" s="300"/>
      <c r="X13" s="300"/>
      <c r="Y13" s="300"/>
      <c r="Z13" s="300"/>
      <c r="AA13" s="300"/>
      <c r="AB13" s="300"/>
      <c r="AC13" s="300"/>
      <c r="AD13" s="300"/>
      <c r="AE13" s="301"/>
      <c r="AM13" s="28">
        <f t="shared" si="1"/>
        <v>45182</v>
      </c>
      <c r="AN13" s="30"/>
    </row>
    <row r="14" spans="1:47" x14ac:dyDescent="0.2">
      <c r="B14" s="2">
        <v>14</v>
      </c>
      <c r="C14" s="4">
        <v>6510</v>
      </c>
      <c r="D14" s="1" t="str">
        <f t="shared" si="0"/>
        <v/>
      </c>
      <c r="F14" s="23"/>
      <c r="I14"/>
      <c r="J14"/>
      <c r="K14"/>
      <c r="M14" s="2"/>
      <c r="N14" s="2"/>
      <c r="O14" s="2"/>
      <c r="P14" s="2"/>
      <c r="Q14" s="2"/>
      <c r="R14" s="2"/>
      <c r="S14" s="221"/>
      <c r="T14" s="220">
        <v>5</v>
      </c>
      <c r="U14" s="220">
        <v>10</v>
      </c>
      <c r="V14" s="220">
        <v>15</v>
      </c>
      <c r="W14" s="220">
        <v>20</v>
      </c>
      <c r="X14" s="220">
        <v>25</v>
      </c>
      <c r="Y14" s="220">
        <v>30</v>
      </c>
      <c r="Z14" s="220">
        <v>35</v>
      </c>
      <c r="AA14" s="220">
        <v>40</v>
      </c>
      <c r="AB14" s="220">
        <v>45</v>
      </c>
      <c r="AC14" s="220">
        <v>50</v>
      </c>
      <c r="AD14" s="220">
        <v>55</v>
      </c>
      <c r="AE14" s="222">
        <v>60</v>
      </c>
      <c r="AM14" s="28">
        <f t="shared" si="1"/>
        <v>45183</v>
      </c>
      <c r="AN14" s="30"/>
    </row>
    <row r="15" spans="1:47" x14ac:dyDescent="0.2">
      <c r="A15" s="2" t="s">
        <v>7</v>
      </c>
      <c r="B15" s="2">
        <v>15</v>
      </c>
      <c r="C15" s="4">
        <v>6810</v>
      </c>
      <c r="D15" s="1" t="str">
        <f t="shared" si="0"/>
        <v>M</v>
      </c>
      <c r="F15" s="23"/>
      <c r="I15" s="270" t="s">
        <v>12</v>
      </c>
      <c r="J15" s="270"/>
      <c r="K15" s="270"/>
      <c r="M15" s="2"/>
      <c r="N15" s="2"/>
      <c r="O15" s="2"/>
      <c r="P15" s="2"/>
      <c r="Q15" s="2"/>
      <c r="R15" s="2"/>
      <c r="S15" s="223" t="s">
        <v>167</v>
      </c>
      <c r="T15" s="224">
        <f>T4*1.15</f>
        <v>1869.8999999999999</v>
      </c>
      <c r="U15" s="224">
        <f t="shared" ref="U15:AE15" si="3">U4*1.15</f>
        <v>2879.6</v>
      </c>
      <c r="V15" s="224">
        <f t="shared" si="3"/>
        <v>4091.7</v>
      </c>
      <c r="W15" s="224">
        <f t="shared" si="3"/>
        <v>5315.2999999999993</v>
      </c>
      <c r="X15" s="224">
        <f t="shared" si="3"/>
        <v>6451.4999999999991</v>
      </c>
      <c r="Y15" s="224">
        <f t="shared" si="3"/>
        <v>7587.7</v>
      </c>
      <c r="Z15" s="224">
        <f t="shared" si="3"/>
        <v>8292.65</v>
      </c>
      <c r="AA15" s="224">
        <f t="shared" si="3"/>
        <v>9011.4</v>
      </c>
      <c r="AB15" s="224">
        <f t="shared" si="3"/>
        <v>9740.5</v>
      </c>
      <c r="AC15" s="224">
        <f t="shared" si="3"/>
        <v>10447.75</v>
      </c>
      <c r="AD15" s="224">
        <f t="shared" si="3"/>
        <v>11207.9</v>
      </c>
      <c r="AE15" s="225">
        <f t="shared" si="3"/>
        <v>12045.099999999999</v>
      </c>
      <c r="AM15" s="28">
        <f t="shared" si="1"/>
        <v>45184</v>
      </c>
      <c r="AN15" s="30"/>
    </row>
    <row r="16" spans="1:47" x14ac:dyDescent="0.2">
      <c r="B16" s="2">
        <v>16</v>
      </c>
      <c r="C16" s="4">
        <v>7210</v>
      </c>
      <c r="D16" s="1" t="str">
        <f t="shared" si="0"/>
        <v/>
      </c>
      <c r="F16" s="23"/>
      <c r="I16" s="269" t="s">
        <v>33</v>
      </c>
      <c r="J16" s="269"/>
      <c r="K16" s="269"/>
      <c r="S16"/>
      <c r="T16"/>
      <c r="U16"/>
      <c r="V16"/>
      <c r="W16"/>
      <c r="AM16" s="28">
        <f t="shared" si="1"/>
        <v>45185</v>
      </c>
      <c r="AN16" s="30"/>
    </row>
    <row r="17" spans="1:40" x14ac:dyDescent="0.2">
      <c r="A17" s="2" t="s">
        <v>1</v>
      </c>
      <c r="B17" s="2">
        <v>17</v>
      </c>
      <c r="C17" s="4">
        <v>7510</v>
      </c>
      <c r="D17" s="1" t="str">
        <f t="shared" si="0"/>
        <v>N</v>
      </c>
      <c r="F17" s="23"/>
      <c r="I17" s="7"/>
      <c r="J17" s="8" t="s">
        <v>28</v>
      </c>
      <c r="K17" s="8" t="s">
        <v>29</v>
      </c>
      <c r="M17" s="66"/>
      <c r="N17" s="66"/>
      <c r="O17" s="66"/>
      <c r="P17" s="66"/>
      <c r="Q17" s="66"/>
      <c r="R17" s="66"/>
      <c r="S17"/>
      <c r="T17"/>
      <c r="U17"/>
      <c r="V17"/>
      <c r="W17"/>
      <c r="AM17" s="28">
        <f t="shared" si="1"/>
        <v>45186</v>
      </c>
      <c r="AN17" s="30"/>
    </row>
    <row r="18" spans="1:40" x14ac:dyDescent="0.2">
      <c r="B18" s="2">
        <v>18</v>
      </c>
      <c r="C18" s="4">
        <v>7810</v>
      </c>
      <c r="D18" s="1" t="str">
        <f t="shared" si="0"/>
        <v/>
      </c>
      <c r="F18" s="23"/>
      <c r="I18" t="s">
        <v>30</v>
      </c>
      <c r="J18" s="9">
        <v>0.125</v>
      </c>
      <c r="K18" s="9">
        <v>0.45833333333333331</v>
      </c>
      <c r="M18" s="11"/>
      <c r="N18" s="11"/>
      <c r="O18" s="11"/>
      <c r="P18" s="11"/>
      <c r="Q18" s="11"/>
      <c r="R18" s="11"/>
      <c r="S18"/>
      <c r="T18"/>
      <c r="U18"/>
      <c r="V18"/>
      <c r="W18"/>
      <c r="AM18" s="28">
        <f t="shared" si="1"/>
        <v>45187</v>
      </c>
      <c r="AN18" s="30"/>
    </row>
    <row r="19" spans="1:40" x14ac:dyDescent="0.2">
      <c r="A19" s="2" t="s">
        <v>5</v>
      </c>
      <c r="B19" s="2">
        <v>19</v>
      </c>
      <c r="C19" s="4">
        <v>8110</v>
      </c>
      <c r="D19" s="1" t="str">
        <f t="shared" si="0"/>
        <v>O</v>
      </c>
      <c r="F19" s="23"/>
      <c r="I19" t="s">
        <v>31</v>
      </c>
      <c r="J19" s="9">
        <v>0.75</v>
      </c>
      <c r="K19" s="9">
        <v>0.80208333333333337</v>
      </c>
      <c r="M19" s="11"/>
      <c r="N19" s="11"/>
      <c r="O19" s="11"/>
      <c r="P19" s="11"/>
      <c r="Q19" s="11"/>
      <c r="R19" s="11"/>
      <c r="S19"/>
      <c r="T19"/>
      <c r="U19"/>
      <c r="V19"/>
      <c r="W19"/>
      <c r="AM19" s="28">
        <f t="shared" si="1"/>
        <v>45188</v>
      </c>
      <c r="AN19" s="30"/>
    </row>
    <row r="20" spans="1:40" x14ac:dyDescent="0.2">
      <c r="A20" s="2" t="s">
        <v>3</v>
      </c>
      <c r="B20" s="2">
        <v>20</v>
      </c>
      <c r="C20" s="4">
        <v>8510</v>
      </c>
      <c r="D20" s="1" t="str">
        <f t="shared" si="0"/>
        <v>X</v>
      </c>
      <c r="F20" s="23"/>
      <c r="I20" t="s">
        <v>30</v>
      </c>
      <c r="J20" s="9">
        <v>0.89583333333333337</v>
      </c>
      <c r="K20" s="9">
        <v>0.99930555555555556</v>
      </c>
      <c r="M20" s="45"/>
      <c r="N20" s="45"/>
      <c r="O20" s="45"/>
      <c r="P20" s="45"/>
      <c r="Q20" s="45"/>
      <c r="R20" s="45"/>
      <c r="S20"/>
      <c r="T20"/>
      <c r="U20"/>
      <c r="V20"/>
      <c r="W20"/>
      <c r="AM20" s="28">
        <f t="shared" si="1"/>
        <v>45189</v>
      </c>
      <c r="AN20" s="30"/>
    </row>
    <row r="21" spans="1:40" x14ac:dyDescent="0.2">
      <c r="B21" s="2">
        <v>21</v>
      </c>
      <c r="C21" s="4">
        <v>8910</v>
      </c>
      <c r="D21" s="1" t="str">
        <f t="shared" si="0"/>
        <v/>
      </c>
      <c r="F21" s="23"/>
      <c r="I21"/>
      <c r="J21"/>
      <c r="K21"/>
      <c r="S21"/>
      <c r="T21"/>
      <c r="U21"/>
      <c r="V21"/>
      <c r="W21"/>
      <c r="AM21" s="28">
        <f t="shared" si="1"/>
        <v>45190</v>
      </c>
      <c r="AN21" s="30"/>
    </row>
    <row r="22" spans="1:40" ht="11.25" customHeight="1" x14ac:dyDescent="0.2">
      <c r="B22" s="2">
        <v>22</v>
      </c>
      <c r="C22" s="4">
        <v>9310</v>
      </c>
      <c r="D22" s="1" t="str">
        <f t="shared" si="0"/>
        <v/>
      </c>
      <c r="F22" s="23"/>
      <c r="I22" s="270" t="s">
        <v>12</v>
      </c>
      <c r="J22" s="270"/>
      <c r="K22" s="270"/>
      <c r="M22" s="2"/>
      <c r="N22" s="2"/>
      <c r="O22" s="2"/>
      <c r="P22" s="2"/>
      <c r="Q22" s="2"/>
      <c r="R22" s="2"/>
      <c r="S22"/>
      <c r="T22"/>
      <c r="U22"/>
      <c r="V22"/>
      <c r="W22"/>
      <c r="AM22" s="28">
        <f t="shared" si="1"/>
        <v>45191</v>
      </c>
      <c r="AN22" s="30"/>
    </row>
    <row r="23" spans="1:40" x14ac:dyDescent="0.2">
      <c r="B23" s="2">
        <v>23</v>
      </c>
      <c r="C23" s="4">
        <v>9810</v>
      </c>
      <c r="D23" s="1" t="str">
        <f t="shared" si="0"/>
        <v/>
      </c>
      <c r="F23" s="23"/>
      <c r="I23" s="269" t="s">
        <v>34</v>
      </c>
      <c r="J23" s="269"/>
      <c r="K23" s="269"/>
      <c r="M23" s="2"/>
      <c r="N23" s="2"/>
      <c r="O23" s="2"/>
      <c r="P23" s="2"/>
      <c r="Q23" s="2"/>
      <c r="R23" s="2"/>
      <c r="S23"/>
      <c r="T23"/>
      <c r="U23"/>
      <c r="V23"/>
      <c r="W23"/>
      <c r="AM23" s="28">
        <f t="shared" si="1"/>
        <v>45192</v>
      </c>
      <c r="AN23" s="30"/>
    </row>
    <row r="24" spans="1:40" x14ac:dyDescent="0.2">
      <c r="B24" s="2">
        <v>24</v>
      </c>
      <c r="C24" s="4">
        <v>10210</v>
      </c>
      <c r="D24" s="1" t="str">
        <f t="shared" si="0"/>
        <v/>
      </c>
      <c r="F24" s="23"/>
      <c r="I24" s="7"/>
      <c r="J24" s="8" t="s">
        <v>28</v>
      </c>
      <c r="K24" s="8" t="s">
        <v>29</v>
      </c>
      <c r="M24" s="2"/>
      <c r="N24" s="2"/>
      <c r="O24" s="2"/>
      <c r="P24" s="2"/>
      <c r="Q24" s="2"/>
      <c r="R24" s="2"/>
      <c r="S24"/>
      <c r="T24"/>
      <c r="U24"/>
      <c r="V24"/>
      <c r="W24"/>
      <c r="AM24" s="28">
        <f t="shared" si="1"/>
        <v>45193</v>
      </c>
      <c r="AN24" s="30"/>
    </row>
    <row r="25" spans="1:40" x14ac:dyDescent="0.2">
      <c r="B25" s="2">
        <v>25</v>
      </c>
      <c r="C25" s="4">
        <v>10610</v>
      </c>
      <c r="D25" s="1" t="str">
        <f t="shared" si="0"/>
        <v/>
      </c>
      <c r="F25" s="23"/>
      <c r="I25" t="s">
        <v>30</v>
      </c>
      <c r="J25" s="9">
        <v>0.125</v>
      </c>
      <c r="K25" s="9">
        <v>0.74930555555555556</v>
      </c>
      <c r="M25" s="2"/>
      <c r="N25" s="2"/>
      <c r="O25" s="2"/>
      <c r="P25" s="2"/>
      <c r="Q25" s="2"/>
      <c r="R25" s="2"/>
      <c r="S25"/>
      <c r="T25"/>
      <c r="U25"/>
      <c r="V25"/>
      <c r="W25"/>
      <c r="AM25" s="28">
        <f t="shared" si="1"/>
        <v>45194</v>
      </c>
      <c r="AN25" s="30"/>
    </row>
    <row r="26" spans="1:40" x14ac:dyDescent="0.2">
      <c r="B26" s="2">
        <v>26</v>
      </c>
      <c r="C26" s="4">
        <v>11210</v>
      </c>
      <c r="D26" s="1" t="str">
        <f t="shared" si="0"/>
        <v/>
      </c>
      <c r="F26" s="23"/>
      <c r="I26" t="s">
        <v>31</v>
      </c>
      <c r="J26" s="9">
        <v>0.72916666666666663</v>
      </c>
      <c r="K26" s="9">
        <v>0.80208333333333337</v>
      </c>
      <c r="S26"/>
      <c r="T26"/>
      <c r="U26"/>
      <c r="V26"/>
      <c r="W26"/>
      <c r="AM26" s="28">
        <f t="shared" si="1"/>
        <v>45195</v>
      </c>
      <c r="AN26" s="30"/>
    </row>
    <row r="27" spans="1:40" x14ac:dyDescent="0.2">
      <c r="B27" s="2">
        <v>27</v>
      </c>
      <c r="C27" s="4">
        <v>11710</v>
      </c>
      <c r="D27" s="1" t="str">
        <f t="shared" si="0"/>
        <v/>
      </c>
      <c r="I27" t="s">
        <v>30</v>
      </c>
      <c r="J27" s="9">
        <v>0.89583333333333337</v>
      </c>
      <c r="K27" s="9">
        <v>0.99930555555555556</v>
      </c>
      <c r="M27" s="66"/>
      <c r="N27" s="66"/>
      <c r="O27" s="66"/>
      <c r="P27" s="66"/>
      <c r="Q27" s="66"/>
      <c r="R27" s="66"/>
      <c r="S27"/>
      <c r="T27"/>
      <c r="U27"/>
      <c r="V27"/>
      <c r="W27"/>
      <c r="AM27" s="28">
        <f t="shared" si="1"/>
        <v>45196</v>
      </c>
      <c r="AN27" s="30"/>
    </row>
    <row r="28" spans="1:40" x14ac:dyDescent="0.2">
      <c r="B28" s="2">
        <v>28</v>
      </c>
      <c r="C28" s="4">
        <v>12410</v>
      </c>
      <c r="D28" s="1" t="str">
        <f t="shared" si="0"/>
        <v/>
      </c>
      <c r="M28" s="11"/>
      <c r="N28" s="11"/>
      <c r="O28" s="11"/>
      <c r="P28" s="11"/>
      <c r="Q28" s="11"/>
      <c r="R28" s="11"/>
      <c r="S28"/>
      <c r="T28"/>
      <c r="U28"/>
      <c r="V28"/>
      <c r="W28"/>
      <c r="AM28" s="28">
        <f t="shared" si="1"/>
        <v>45197</v>
      </c>
      <c r="AN28" s="30"/>
    </row>
    <row r="29" spans="1:40" x14ac:dyDescent="0.2">
      <c r="AM29" s="28">
        <f t="shared" si="1"/>
        <v>45198</v>
      </c>
      <c r="AN29" s="30"/>
    </row>
    <row r="30" spans="1:40" x14ac:dyDescent="0.2">
      <c r="M30" s="3" t="s">
        <v>93</v>
      </c>
      <c r="N30" s="35">
        <v>5</v>
      </c>
      <c r="O30" s="5">
        <v>10</v>
      </c>
      <c r="P30" s="5">
        <v>15</v>
      </c>
      <c r="Q30" s="5">
        <v>20</v>
      </c>
      <c r="R30" s="5">
        <v>25</v>
      </c>
      <c r="S30" s="5">
        <v>30</v>
      </c>
      <c r="T30" s="5">
        <v>35</v>
      </c>
      <c r="U30" s="5">
        <v>40</v>
      </c>
      <c r="V30" s="8">
        <v>45</v>
      </c>
      <c r="W30" s="8">
        <v>50</v>
      </c>
      <c r="X30" s="8">
        <v>55</v>
      </c>
      <c r="Y30" s="8">
        <v>60</v>
      </c>
      <c r="AA30" s="267" t="s">
        <v>92</v>
      </c>
      <c r="AB30" s="267"/>
      <c r="AM30" s="28">
        <f t="shared" si="1"/>
        <v>45199</v>
      </c>
      <c r="AN30" s="30"/>
    </row>
    <row r="31" spans="1:40" x14ac:dyDescent="0.2">
      <c r="L31" s="1" t="s">
        <v>121</v>
      </c>
      <c r="M31" s="34" t="s">
        <v>166</v>
      </c>
      <c r="N31" s="40">
        <f>'Línuleg verðskrá'!C5</f>
        <v>1355</v>
      </c>
      <c r="O31" s="41">
        <f>'Línuleg verðskrá'!C10</f>
        <v>2087</v>
      </c>
      <c r="P31" s="41">
        <f>'Línuleg verðskrá'!C15</f>
        <v>2965</v>
      </c>
      <c r="Q31" s="41">
        <f>'Línuleg verðskrá'!C20</f>
        <v>3852</v>
      </c>
      <c r="R31" s="41">
        <f>'Línuleg verðskrá'!C25</f>
        <v>4675</v>
      </c>
      <c r="S31" s="41">
        <f>'Línuleg verðskrá'!C30</f>
        <v>5498</v>
      </c>
      <c r="T31" s="41">
        <f>'Línuleg verðskrá'!C35</f>
        <v>6009</v>
      </c>
      <c r="U31" s="41">
        <f>'Línuleg verðskrá'!C40</f>
        <v>6530</v>
      </c>
      <c r="V31" s="42">
        <f>'Línuleg verðskrá'!C45</f>
        <v>7058</v>
      </c>
      <c r="W31" s="42">
        <f>'Línuleg verðskrá'!C50</f>
        <v>7571</v>
      </c>
      <c r="X31" s="42">
        <f>'Línuleg verðskrá'!C55</f>
        <v>8122</v>
      </c>
      <c r="Y31" s="42">
        <f>'Línuleg verðskrá'!C60</f>
        <v>8728</v>
      </c>
      <c r="AA31" s="2">
        <v>1</v>
      </c>
      <c r="AB31" s="51">
        <v>1</v>
      </c>
      <c r="AC31" s="78">
        <f>DATE(2020,AA31,1)</f>
        <v>43831</v>
      </c>
      <c r="AD31">
        <v>1</v>
      </c>
      <c r="AM31" s="28">
        <f t="shared" si="1"/>
        <v>45200</v>
      </c>
      <c r="AN31" s="30"/>
    </row>
    <row r="32" spans="1:40" ht="11.25" customHeight="1" x14ac:dyDescent="0.2">
      <c r="L32" s="1" t="s">
        <v>122</v>
      </c>
      <c r="M32" s="34" t="s">
        <v>58</v>
      </c>
      <c r="N32" s="36">
        <f>ROUND(VLOOKUP($M32,$M$62:$O$76,3,0)*N$31,0)</f>
        <v>1600</v>
      </c>
      <c r="O32" s="37">
        <f>ROUND(VLOOKUP($M32,$M$62:$O$76,3,0)*O$31,0)</f>
        <v>2465</v>
      </c>
      <c r="P32" s="37">
        <f t="shared" ref="O32:R35" si="4">ROUND(VLOOKUP($M32,$M$62:$O$76,3,0)*P$31,0)</f>
        <v>3501</v>
      </c>
      <c r="Q32" s="37">
        <f t="shared" si="4"/>
        <v>4549</v>
      </c>
      <c r="R32" s="37">
        <f t="shared" si="4"/>
        <v>5521</v>
      </c>
      <c r="S32" s="37">
        <f t="shared" ref="S32:Y35" si="5">ROUND(VLOOKUP($M32,$M$62:$O$76,3,0)*S$31,0)</f>
        <v>6492</v>
      </c>
      <c r="T32" s="37">
        <f t="shared" si="5"/>
        <v>7096</v>
      </c>
      <c r="U32" s="37">
        <f t="shared" si="5"/>
        <v>7711</v>
      </c>
      <c r="V32" s="37">
        <f t="shared" si="5"/>
        <v>8335</v>
      </c>
      <c r="W32" s="37">
        <f t="shared" si="5"/>
        <v>8940</v>
      </c>
      <c r="X32" s="37">
        <f t="shared" si="5"/>
        <v>9591</v>
      </c>
      <c r="Y32" s="37">
        <f t="shared" si="5"/>
        <v>10307</v>
      </c>
      <c r="AA32" s="2">
        <v>2</v>
      </c>
      <c r="AB32" s="51">
        <v>1</v>
      </c>
      <c r="AC32" s="78">
        <f t="shared" ref="AC32:AC42" si="6">DATE(2020,AA32,1)</f>
        <v>43862</v>
      </c>
      <c r="AD32">
        <v>2</v>
      </c>
      <c r="AM32" s="28">
        <f t="shared" si="1"/>
        <v>45201</v>
      </c>
      <c r="AN32" s="30"/>
    </row>
    <row r="33" spans="12:40" x14ac:dyDescent="0.2">
      <c r="L33" s="1" t="s">
        <v>123</v>
      </c>
      <c r="M33" s="34" t="s">
        <v>59</v>
      </c>
      <c r="N33" s="36">
        <f>ROUND(VLOOKUP($M33,$M$62:$O$76,3,0)*N$31,0)</f>
        <v>1496</v>
      </c>
      <c r="O33" s="37">
        <f t="shared" si="4"/>
        <v>2304</v>
      </c>
      <c r="P33" s="37">
        <f t="shared" si="4"/>
        <v>3273</v>
      </c>
      <c r="Q33" s="37">
        <f t="shared" si="4"/>
        <v>4252</v>
      </c>
      <c r="R33" s="37">
        <f t="shared" si="4"/>
        <v>5160</v>
      </c>
      <c r="S33" s="37">
        <f t="shared" si="5"/>
        <v>6069</v>
      </c>
      <c r="T33" s="37">
        <f t="shared" si="5"/>
        <v>6633</v>
      </c>
      <c r="U33" s="37">
        <f t="shared" si="5"/>
        <v>7208</v>
      </c>
      <c r="V33" s="37">
        <f t="shared" si="5"/>
        <v>7790</v>
      </c>
      <c r="W33" s="37">
        <f t="shared" si="5"/>
        <v>8357</v>
      </c>
      <c r="X33" s="37">
        <f t="shared" si="5"/>
        <v>8965</v>
      </c>
      <c r="Y33" s="37">
        <f t="shared" si="5"/>
        <v>9634</v>
      </c>
      <c r="AA33" s="2">
        <v>3</v>
      </c>
      <c r="AB33" s="51">
        <v>1</v>
      </c>
      <c r="AC33" s="78">
        <f t="shared" si="6"/>
        <v>43891</v>
      </c>
      <c r="AD33">
        <v>3</v>
      </c>
      <c r="AM33" s="28">
        <f t="shared" si="1"/>
        <v>45202</v>
      </c>
      <c r="AN33" s="30"/>
    </row>
    <row r="34" spans="12:40" x14ac:dyDescent="0.2">
      <c r="L34" s="1" t="s">
        <v>124</v>
      </c>
      <c r="M34" s="34" t="s">
        <v>60</v>
      </c>
      <c r="N34" s="36">
        <f>ROUND(VLOOKUP($M34,$M$62:$O$76,3,0)*N$31,0)</f>
        <v>1441</v>
      </c>
      <c r="O34" s="37">
        <f t="shared" si="4"/>
        <v>2220</v>
      </c>
      <c r="P34" s="37">
        <f t="shared" si="4"/>
        <v>3154</v>
      </c>
      <c r="Q34" s="37">
        <f t="shared" si="4"/>
        <v>4097</v>
      </c>
      <c r="R34" s="37">
        <f t="shared" si="4"/>
        <v>4972</v>
      </c>
      <c r="S34" s="37">
        <f t="shared" si="5"/>
        <v>5848</v>
      </c>
      <c r="T34" s="37">
        <f t="shared" si="5"/>
        <v>6391</v>
      </c>
      <c r="U34" s="37">
        <f t="shared" si="5"/>
        <v>6945</v>
      </c>
      <c r="V34" s="37">
        <f t="shared" si="5"/>
        <v>7507</v>
      </c>
      <c r="W34" s="37">
        <f t="shared" si="5"/>
        <v>8052</v>
      </c>
      <c r="X34" s="37">
        <f t="shared" si="5"/>
        <v>8638</v>
      </c>
      <c r="Y34" s="37">
        <f t="shared" si="5"/>
        <v>9283</v>
      </c>
      <c r="AA34" s="2">
        <v>4</v>
      </c>
      <c r="AB34" s="51">
        <v>1</v>
      </c>
      <c r="AC34" s="78">
        <f t="shared" si="6"/>
        <v>43922</v>
      </c>
      <c r="AD34">
        <v>4</v>
      </c>
      <c r="AM34" s="28">
        <f t="shared" si="1"/>
        <v>45203</v>
      </c>
      <c r="AN34" s="30"/>
    </row>
    <row r="35" spans="12:40" x14ac:dyDescent="0.2">
      <c r="L35" s="1" t="s">
        <v>125</v>
      </c>
      <c r="M35" s="34" t="s">
        <v>61</v>
      </c>
      <c r="N35" s="36">
        <f>ROUND(VLOOKUP($M35,$M$62:$O$76,3,0)*N$31,0)</f>
        <v>1909</v>
      </c>
      <c r="O35" s="37">
        <f t="shared" si="4"/>
        <v>2940</v>
      </c>
      <c r="P35" s="37">
        <f t="shared" si="4"/>
        <v>4177</v>
      </c>
      <c r="Q35" s="37">
        <f t="shared" si="4"/>
        <v>5427</v>
      </c>
      <c r="R35" s="37">
        <f t="shared" si="4"/>
        <v>6586</v>
      </c>
      <c r="S35" s="37">
        <f t="shared" si="5"/>
        <v>7745</v>
      </c>
      <c r="T35" s="37">
        <f t="shared" si="5"/>
        <v>8465</v>
      </c>
      <c r="U35" s="37">
        <f t="shared" si="5"/>
        <v>9199</v>
      </c>
      <c r="V35" s="37">
        <f t="shared" si="5"/>
        <v>9943</v>
      </c>
      <c r="W35" s="37">
        <f t="shared" si="5"/>
        <v>10666</v>
      </c>
      <c r="X35" s="37">
        <f t="shared" si="5"/>
        <v>11442</v>
      </c>
      <c r="Y35" s="37">
        <f t="shared" si="5"/>
        <v>12296</v>
      </c>
      <c r="AA35" s="2">
        <v>5</v>
      </c>
      <c r="AB35" s="51">
        <v>1</v>
      </c>
      <c r="AC35" s="78">
        <f t="shared" si="6"/>
        <v>43952</v>
      </c>
      <c r="AD35">
        <v>5</v>
      </c>
      <c r="AM35" s="28">
        <f t="shared" si="1"/>
        <v>45204</v>
      </c>
      <c r="AN35" s="30"/>
    </row>
    <row r="36" spans="12:40" x14ac:dyDescent="0.2">
      <c r="L36" s="1" t="s">
        <v>126</v>
      </c>
      <c r="M36" s="34" t="s">
        <v>62</v>
      </c>
      <c r="N36" s="36">
        <f>ROUND(N31*$O$74,0)</f>
        <v>1390</v>
      </c>
      <c r="O36" s="37">
        <f t="shared" ref="O36:Y36" si="7">ROUND(O31*$O$74,0)</f>
        <v>2142</v>
      </c>
      <c r="P36" s="37">
        <f t="shared" si="7"/>
        <v>3043</v>
      </c>
      <c r="Q36" s="37">
        <f t="shared" si="7"/>
        <v>3953</v>
      </c>
      <c r="R36" s="37">
        <f t="shared" si="7"/>
        <v>4797</v>
      </c>
      <c r="S36" s="37">
        <f t="shared" si="7"/>
        <v>5642</v>
      </c>
      <c r="T36" s="37">
        <f t="shared" si="7"/>
        <v>6166</v>
      </c>
      <c r="U36" s="37">
        <f t="shared" si="7"/>
        <v>6701</v>
      </c>
      <c r="V36" s="37">
        <f t="shared" si="7"/>
        <v>7243</v>
      </c>
      <c r="W36" s="37">
        <f t="shared" si="7"/>
        <v>7769</v>
      </c>
      <c r="X36" s="38">
        <f t="shared" si="7"/>
        <v>8335</v>
      </c>
      <c r="Y36" s="38">
        <f t="shared" si="7"/>
        <v>8957</v>
      </c>
      <c r="AA36" s="2">
        <v>6</v>
      </c>
      <c r="AB36" s="51">
        <v>1</v>
      </c>
      <c r="AC36" s="78">
        <f t="shared" si="6"/>
        <v>43983</v>
      </c>
      <c r="AD36">
        <v>6</v>
      </c>
      <c r="AM36" s="28">
        <f t="shared" si="1"/>
        <v>45205</v>
      </c>
      <c r="AN36" s="30"/>
    </row>
    <row r="37" spans="12:40" x14ac:dyDescent="0.2">
      <c r="L37" s="1" t="s">
        <v>127</v>
      </c>
      <c r="M37" s="34" t="s">
        <v>63</v>
      </c>
      <c r="N37" s="36">
        <f t="shared" ref="N37:Y37" si="8">ROUND(N32*$O$74,0)</f>
        <v>1642</v>
      </c>
      <c r="O37" s="37">
        <f t="shared" si="8"/>
        <v>2530</v>
      </c>
      <c r="P37" s="37">
        <f t="shared" si="8"/>
        <v>3593</v>
      </c>
      <c r="Q37" s="37">
        <f t="shared" si="8"/>
        <v>4668</v>
      </c>
      <c r="R37" s="37">
        <f t="shared" si="8"/>
        <v>5666</v>
      </c>
      <c r="S37" s="37">
        <f t="shared" si="8"/>
        <v>6662</v>
      </c>
      <c r="T37" s="37">
        <f t="shared" si="8"/>
        <v>7282</v>
      </c>
      <c r="U37" s="37">
        <f t="shared" si="8"/>
        <v>7913</v>
      </c>
      <c r="V37" s="37">
        <f t="shared" si="8"/>
        <v>8553</v>
      </c>
      <c r="W37" s="37">
        <f t="shared" si="8"/>
        <v>9174</v>
      </c>
      <c r="X37" s="38">
        <f t="shared" si="8"/>
        <v>9842</v>
      </c>
      <c r="Y37" s="38">
        <f t="shared" si="8"/>
        <v>10577</v>
      </c>
      <c r="AA37" s="2">
        <v>7</v>
      </c>
      <c r="AB37" s="51">
        <v>1</v>
      </c>
      <c r="AC37" s="78">
        <f t="shared" si="6"/>
        <v>44013</v>
      </c>
      <c r="AD37">
        <v>7</v>
      </c>
      <c r="AM37" s="28">
        <f t="shared" si="1"/>
        <v>45206</v>
      </c>
      <c r="AN37" s="30"/>
    </row>
    <row r="38" spans="12:40" x14ac:dyDescent="0.2">
      <c r="L38" s="1" t="s">
        <v>128</v>
      </c>
      <c r="M38" s="34" t="s">
        <v>64</v>
      </c>
      <c r="N38" s="36">
        <f t="shared" ref="N38:Y38" si="9">ROUND(N33*$O$74,0)</f>
        <v>1535</v>
      </c>
      <c r="O38" s="37">
        <f t="shared" si="9"/>
        <v>2364</v>
      </c>
      <c r="P38" s="37">
        <f t="shared" si="9"/>
        <v>3359</v>
      </c>
      <c r="Q38" s="37">
        <f t="shared" si="9"/>
        <v>4363</v>
      </c>
      <c r="R38" s="37">
        <f t="shared" si="9"/>
        <v>5295</v>
      </c>
      <c r="S38" s="37">
        <f t="shared" si="9"/>
        <v>6228</v>
      </c>
      <c r="T38" s="37">
        <f t="shared" si="9"/>
        <v>6807</v>
      </c>
      <c r="U38" s="37">
        <f t="shared" si="9"/>
        <v>7397</v>
      </c>
      <c r="V38" s="37">
        <f t="shared" si="9"/>
        <v>7994</v>
      </c>
      <c r="W38" s="37">
        <f t="shared" si="9"/>
        <v>8576</v>
      </c>
      <c r="X38" s="38">
        <f t="shared" si="9"/>
        <v>9200</v>
      </c>
      <c r="Y38" s="38">
        <f t="shared" si="9"/>
        <v>9886</v>
      </c>
      <c r="AA38" s="2">
        <v>8</v>
      </c>
      <c r="AB38" s="51">
        <v>1</v>
      </c>
      <c r="AC38" s="78">
        <f t="shared" si="6"/>
        <v>44044</v>
      </c>
      <c r="AD38">
        <v>8</v>
      </c>
      <c r="AM38" s="28">
        <f t="shared" si="1"/>
        <v>45207</v>
      </c>
      <c r="AN38" s="30"/>
    </row>
    <row r="39" spans="12:40" x14ac:dyDescent="0.2">
      <c r="L39" s="1" t="s">
        <v>129</v>
      </c>
      <c r="M39" s="34" t="s">
        <v>65</v>
      </c>
      <c r="N39" s="36">
        <f t="shared" ref="N39:Y39" si="10">ROUND(N34*$O$74,0)</f>
        <v>1479</v>
      </c>
      <c r="O39" s="37">
        <f t="shared" si="10"/>
        <v>2278</v>
      </c>
      <c r="P39" s="37">
        <f t="shared" si="10"/>
        <v>3237</v>
      </c>
      <c r="Q39" s="37">
        <f t="shared" si="10"/>
        <v>4204</v>
      </c>
      <c r="R39" s="37">
        <f t="shared" si="10"/>
        <v>5102</v>
      </c>
      <c r="S39" s="37">
        <f t="shared" si="10"/>
        <v>6001</v>
      </c>
      <c r="T39" s="37">
        <f t="shared" si="10"/>
        <v>6558</v>
      </c>
      <c r="U39" s="37">
        <f t="shared" si="10"/>
        <v>7127</v>
      </c>
      <c r="V39" s="37">
        <f t="shared" si="10"/>
        <v>7704</v>
      </c>
      <c r="W39" s="37">
        <f t="shared" si="10"/>
        <v>8263</v>
      </c>
      <c r="X39" s="38">
        <f t="shared" si="10"/>
        <v>8864</v>
      </c>
      <c r="Y39" s="38">
        <f t="shared" si="10"/>
        <v>9526</v>
      </c>
      <c r="AA39" s="2">
        <v>9</v>
      </c>
      <c r="AB39" s="51">
        <v>1</v>
      </c>
      <c r="AC39" s="78">
        <f t="shared" si="6"/>
        <v>44075</v>
      </c>
      <c r="AD39">
        <v>9</v>
      </c>
      <c r="AM39" s="28">
        <f t="shared" si="1"/>
        <v>45208</v>
      </c>
      <c r="AN39" s="30"/>
    </row>
    <row r="40" spans="12:40" x14ac:dyDescent="0.2">
      <c r="L40" s="1" t="s">
        <v>130</v>
      </c>
      <c r="M40" s="34" t="s">
        <v>66</v>
      </c>
      <c r="N40" s="36">
        <f t="shared" ref="N40:Y40" si="11">ROUND(N35*$O$74,0)</f>
        <v>1959</v>
      </c>
      <c r="O40" s="37">
        <f t="shared" si="11"/>
        <v>3017</v>
      </c>
      <c r="P40" s="37">
        <f t="shared" si="11"/>
        <v>4286</v>
      </c>
      <c r="Q40" s="37">
        <f t="shared" si="11"/>
        <v>5569</v>
      </c>
      <c r="R40" s="37">
        <f t="shared" si="11"/>
        <v>6759</v>
      </c>
      <c r="S40" s="37">
        <f t="shared" si="11"/>
        <v>7948</v>
      </c>
      <c r="T40" s="37">
        <f t="shared" si="11"/>
        <v>8687</v>
      </c>
      <c r="U40" s="37">
        <f t="shared" si="11"/>
        <v>9440</v>
      </c>
      <c r="V40" s="37">
        <f t="shared" si="11"/>
        <v>10203</v>
      </c>
      <c r="W40" s="37">
        <f t="shared" si="11"/>
        <v>10945</v>
      </c>
      <c r="X40" s="38">
        <f t="shared" si="11"/>
        <v>11742</v>
      </c>
      <c r="Y40" s="38">
        <f t="shared" si="11"/>
        <v>12618</v>
      </c>
      <c r="AA40" s="2">
        <v>10</v>
      </c>
      <c r="AB40" s="51">
        <v>1</v>
      </c>
      <c r="AC40" s="78">
        <f t="shared" si="6"/>
        <v>44105</v>
      </c>
      <c r="AD40">
        <v>10</v>
      </c>
      <c r="AM40" s="28">
        <f t="shared" si="1"/>
        <v>45209</v>
      </c>
      <c r="AN40" s="30"/>
    </row>
    <row r="41" spans="12:40" x14ac:dyDescent="0.2">
      <c r="L41" s="1" t="s">
        <v>131</v>
      </c>
      <c r="M41" s="34" t="s">
        <v>67</v>
      </c>
      <c r="N41" s="36">
        <f>ROUND(N31*$O$75,0)</f>
        <v>1606</v>
      </c>
      <c r="O41" s="37">
        <f t="shared" ref="O41:Y41" si="12">ROUND(O31*$O$75,0)</f>
        <v>2474</v>
      </c>
      <c r="P41" s="37">
        <f t="shared" si="12"/>
        <v>3514</v>
      </c>
      <c r="Q41" s="37">
        <f t="shared" si="12"/>
        <v>4566</v>
      </c>
      <c r="R41" s="37">
        <f t="shared" si="12"/>
        <v>5541</v>
      </c>
      <c r="S41" s="37">
        <f t="shared" si="12"/>
        <v>6516</v>
      </c>
      <c r="T41" s="37">
        <f t="shared" si="12"/>
        <v>7122</v>
      </c>
      <c r="U41" s="37">
        <f t="shared" si="12"/>
        <v>7740</v>
      </c>
      <c r="V41" s="37">
        <f t="shared" si="12"/>
        <v>8365</v>
      </c>
      <c r="W41" s="37">
        <f t="shared" si="12"/>
        <v>8973</v>
      </c>
      <c r="X41" s="38">
        <f t="shared" si="12"/>
        <v>9627</v>
      </c>
      <c r="Y41" s="38">
        <f t="shared" si="12"/>
        <v>10345</v>
      </c>
      <c r="AA41" s="2">
        <v>11</v>
      </c>
      <c r="AB41" s="51">
        <v>1.1499999999999999</v>
      </c>
      <c r="AC41" s="78">
        <f t="shared" si="6"/>
        <v>44136</v>
      </c>
      <c r="AD41">
        <v>11</v>
      </c>
      <c r="AM41" s="28">
        <f t="shared" si="1"/>
        <v>45210</v>
      </c>
      <c r="AN41" s="30"/>
    </row>
    <row r="42" spans="12:40" ht="11.25" customHeight="1" x14ac:dyDescent="0.2">
      <c r="L42" s="1" t="s">
        <v>132</v>
      </c>
      <c r="M42" s="34" t="s">
        <v>68</v>
      </c>
      <c r="N42" s="36">
        <f t="shared" ref="N42:Y42" si="13">ROUND(N32*$O$75,0)</f>
        <v>1896</v>
      </c>
      <c r="O42" s="37">
        <f t="shared" si="13"/>
        <v>2922</v>
      </c>
      <c r="P42" s="37">
        <f t="shared" si="13"/>
        <v>4150</v>
      </c>
      <c r="Q42" s="37">
        <f t="shared" si="13"/>
        <v>5392</v>
      </c>
      <c r="R42" s="37">
        <f t="shared" si="13"/>
        <v>6544</v>
      </c>
      <c r="S42" s="37">
        <f t="shared" si="13"/>
        <v>7695</v>
      </c>
      <c r="T42" s="37">
        <f t="shared" si="13"/>
        <v>8410</v>
      </c>
      <c r="U42" s="37">
        <f t="shared" si="13"/>
        <v>9139</v>
      </c>
      <c r="V42" s="37">
        <f t="shared" si="13"/>
        <v>9879</v>
      </c>
      <c r="W42" s="37">
        <f t="shared" si="13"/>
        <v>10596</v>
      </c>
      <c r="X42" s="38">
        <f t="shared" si="13"/>
        <v>11368</v>
      </c>
      <c r="Y42" s="38">
        <f t="shared" si="13"/>
        <v>12216</v>
      </c>
      <c r="AA42" s="2">
        <v>12</v>
      </c>
      <c r="AB42" s="51">
        <v>1.1499999999999999</v>
      </c>
      <c r="AC42" s="78">
        <f t="shared" si="6"/>
        <v>44166</v>
      </c>
      <c r="AD42">
        <v>12</v>
      </c>
      <c r="AM42" s="28">
        <f t="shared" si="1"/>
        <v>45211</v>
      </c>
      <c r="AN42" s="30"/>
    </row>
    <row r="43" spans="12:40" x14ac:dyDescent="0.2">
      <c r="L43" s="1" t="s">
        <v>133</v>
      </c>
      <c r="M43" s="34" t="s">
        <v>69</v>
      </c>
      <c r="N43" s="36">
        <f t="shared" ref="N43:Y43" si="14">ROUND(N33*$O$75,0)</f>
        <v>1773</v>
      </c>
      <c r="O43" s="37">
        <f t="shared" si="14"/>
        <v>2731</v>
      </c>
      <c r="P43" s="37">
        <f t="shared" si="14"/>
        <v>3879</v>
      </c>
      <c r="Q43" s="37">
        <f t="shared" si="14"/>
        <v>5040</v>
      </c>
      <c r="R43" s="37">
        <f t="shared" si="14"/>
        <v>6116</v>
      </c>
      <c r="S43" s="37">
        <f t="shared" si="14"/>
        <v>7193</v>
      </c>
      <c r="T43" s="37">
        <f t="shared" si="14"/>
        <v>7862</v>
      </c>
      <c r="U43" s="37">
        <f t="shared" si="14"/>
        <v>8543</v>
      </c>
      <c r="V43" s="37">
        <f t="shared" si="14"/>
        <v>9233</v>
      </c>
      <c r="W43" s="37">
        <f t="shared" si="14"/>
        <v>9905</v>
      </c>
      <c r="X43" s="38">
        <f t="shared" si="14"/>
        <v>10626</v>
      </c>
      <c r="Y43" s="38">
        <f t="shared" si="14"/>
        <v>11419</v>
      </c>
      <c r="AM43" s="28">
        <f t="shared" si="1"/>
        <v>45212</v>
      </c>
      <c r="AN43" s="30"/>
    </row>
    <row r="44" spans="12:40" x14ac:dyDescent="0.2">
      <c r="L44" s="1" t="s">
        <v>134</v>
      </c>
      <c r="M44" s="34" t="s">
        <v>70</v>
      </c>
      <c r="N44" s="36">
        <f t="shared" ref="N44:Y44" si="15">ROUND(N34*$O$75,0)</f>
        <v>1708</v>
      </c>
      <c r="O44" s="37">
        <f t="shared" si="15"/>
        <v>2631</v>
      </c>
      <c r="P44" s="37">
        <f t="shared" si="15"/>
        <v>3738</v>
      </c>
      <c r="Q44" s="37">
        <f t="shared" si="15"/>
        <v>4856</v>
      </c>
      <c r="R44" s="37">
        <f t="shared" si="15"/>
        <v>5893</v>
      </c>
      <c r="S44" s="37">
        <f t="shared" si="15"/>
        <v>6931</v>
      </c>
      <c r="T44" s="37">
        <f t="shared" si="15"/>
        <v>7575</v>
      </c>
      <c r="U44" s="37">
        <f t="shared" si="15"/>
        <v>8231</v>
      </c>
      <c r="V44" s="37">
        <f t="shared" si="15"/>
        <v>8898</v>
      </c>
      <c r="W44" s="37">
        <f t="shared" si="15"/>
        <v>9544</v>
      </c>
      <c r="X44" s="38">
        <f t="shared" si="15"/>
        <v>10238</v>
      </c>
      <c r="Y44" s="38">
        <f t="shared" si="15"/>
        <v>11003</v>
      </c>
      <c r="AM44" s="28">
        <f t="shared" si="1"/>
        <v>45213</v>
      </c>
      <c r="AN44" s="30"/>
    </row>
    <row r="45" spans="12:40" x14ac:dyDescent="0.2">
      <c r="L45" s="1" t="s">
        <v>135</v>
      </c>
      <c r="M45" s="34" t="s">
        <v>71</v>
      </c>
      <c r="N45" s="36">
        <f t="shared" ref="N45:Y45" si="16">ROUND(N35*$O$75,0)</f>
        <v>2263</v>
      </c>
      <c r="O45" s="37">
        <f t="shared" si="16"/>
        <v>3485</v>
      </c>
      <c r="P45" s="37">
        <f t="shared" si="16"/>
        <v>4951</v>
      </c>
      <c r="Q45" s="37">
        <f t="shared" si="16"/>
        <v>6432</v>
      </c>
      <c r="R45" s="37">
        <f t="shared" si="16"/>
        <v>7806</v>
      </c>
      <c r="S45" s="37">
        <f t="shared" si="16"/>
        <v>9180</v>
      </c>
      <c r="T45" s="37">
        <f t="shared" si="16"/>
        <v>10033</v>
      </c>
      <c r="U45" s="37">
        <f t="shared" si="16"/>
        <v>10903</v>
      </c>
      <c r="V45" s="37">
        <f t="shared" si="16"/>
        <v>11785</v>
      </c>
      <c r="W45" s="37">
        <f t="shared" si="16"/>
        <v>12642</v>
      </c>
      <c r="X45" s="38">
        <f t="shared" si="16"/>
        <v>13562</v>
      </c>
      <c r="Y45" s="38">
        <f t="shared" si="16"/>
        <v>14574</v>
      </c>
      <c r="AM45" s="28">
        <f t="shared" si="1"/>
        <v>45214</v>
      </c>
      <c r="AN45" s="30"/>
    </row>
    <row r="46" spans="12:40" x14ac:dyDescent="0.2">
      <c r="L46" s="1" t="s">
        <v>136</v>
      </c>
      <c r="M46" s="129" t="s">
        <v>72</v>
      </c>
      <c r="N46" s="130">
        <f>ROUND(N31*$O$76,0)</f>
        <v>1423</v>
      </c>
      <c r="O46" s="131">
        <f t="shared" ref="O46:Y46" si="17">ROUND(O31*$O$76,0)</f>
        <v>2191</v>
      </c>
      <c r="P46" s="131">
        <f t="shared" si="17"/>
        <v>3113</v>
      </c>
      <c r="Q46" s="131">
        <f t="shared" si="17"/>
        <v>4045</v>
      </c>
      <c r="R46" s="131">
        <f t="shared" si="17"/>
        <v>4909</v>
      </c>
      <c r="S46" s="131">
        <f t="shared" si="17"/>
        <v>5773</v>
      </c>
      <c r="T46" s="131">
        <f t="shared" si="17"/>
        <v>6309</v>
      </c>
      <c r="U46" s="131">
        <f t="shared" si="17"/>
        <v>6857</v>
      </c>
      <c r="V46" s="131">
        <f t="shared" si="17"/>
        <v>7411</v>
      </c>
      <c r="W46" s="131">
        <f t="shared" si="17"/>
        <v>7950</v>
      </c>
      <c r="X46" s="132">
        <f t="shared" si="17"/>
        <v>8528</v>
      </c>
      <c r="Y46" s="132">
        <f t="shared" si="17"/>
        <v>9164</v>
      </c>
      <c r="AM46" s="28">
        <f t="shared" si="1"/>
        <v>45215</v>
      </c>
      <c r="AN46" s="30"/>
    </row>
    <row r="47" spans="12:40" x14ac:dyDescent="0.2">
      <c r="L47" s="1" t="s">
        <v>137</v>
      </c>
      <c r="M47" s="129" t="s">
        <v>73</v>
      </c>
      <c r="N47" s="130">
        <f t="shared" ref="N47:Y47" si="18">ROUND(N32*$O$76,0)</f>
        <v>1680</v>
      </c>
      <c r="O47" s="131">
        <f t="shared" si="18"/>
        <v>2588</v>
      </c>
      <c r="P47" s="131">
        <f t="shared" si="18"/>
        <v>3676</v>
      </c>
      <c r="Q47" s="131">
        <f t="shared" si="18"/>
        <v>4776</v>
      </c>
      <c r="R47" s="131">
        <f t="shared" si="18"/>
        <v>5797</v>
      </c>
      <c r="S47" s="131">
        <f t="shared" si="18"/>
        <v>6817</v>
      </c>
      <c r="T47" s="131">
        <f t="shared" si="18"/>
        <v>7451</v>
      </c>
      <c r="U47" s="131">
        <f t="shared" si="18"/>
        <v>8097</v>
      </c>
      <c r="V47" s="131">
        <f t="shared" si="18"/>
        <v>8752</v>
      </c>
      <c r="W47" s="131">
        <f t="shared" si="18"/>
        <v>9387</v>
      </c>
      <c r="X47" s="132">
        <f t="shared" si="18"/>
        <v>10071</v>
      </c>
      <c r="Y47" s="132">
        <f t="shared" si="18"/>
        <v>10822</v>
      </c>
      <c r="AM47" s="28">
        <f t="shared" si="1"/>
        <v>45216</v>
      </c>
      <c r="AN47" s="30"/>
    </row>
    <row r="48" spans="12:40" x14ac:dyDescent="0.2">
      <c r="L48" s="1" t="s">
        <v>138</v>
      </c>
      <c r="M48" s="129" t="s">
        <v>74</v>
      </c>
      <c r="N48" s="130">
        <f t="shared" ref="N48:Y48" si="19">ROUND(N33*$O$76,0)</f>
        <v>1571</v>
      </c>
      <c r="O48" s="131">
        <f t="shared" si="19"/>
        <v>2419</v>
      </c>
      <c r="P48" s="131">
        <f t="shared" si="19"/>
        <v>3437</v>
      </c>
      <c r="Q48" s="131">
        <f t="shared" si="19"/>
        <v>4465</v>
      </c>
      <c r="R48" s="131">
        <f t="shared" si="19"/>
        <v>5418</v>
      </c>
      <c r="S48" s="131">
        <f t="shared" si="19"/>
        <v>6372</v>
      </c>
      <c r="T48" s="131">
        <f t="shared" si="19"/>
        <v>6965</v>
      </c>
      <c r="U48" s="131">
        <f t="shared" si="19"/>
        <v>7568</v>
      </c>
      <c r="V48" s="131">
        <f t="shared" si="19"/>
        <v>8180</v>
      </c>
      <c r="W48" s="131">
        <f t="shared" si="19"/>
        <v>8775</v>
      </c>
      <c r="X48" s="132">
        <f t="shared" si="19"/>
        <v>9413</v>
      </c>
      <c r="Y48" s="132">
        <f t="shared" si="19"/>
        <v>10116</v>
      </c>
      <c r="AM48" s="28">
        <f t="shared" si="1"/>
        <v>45217</v>
      </c>
      <c r="AN48" s="30"/>
    </row>
    <row r="49" spans="12:40" x14ac:dyDescent="0.2">
      <c r="L49" s="1" t="s">
        <v>139</v>
      </c>
      <c r="M49" s="129" t="s">
        <v>75</v>
      </c>
      <c r="N49" s="130">
        <f t="shared" ref="N49:Y49" si="20">ROUND(N34*$O$76,0)</f>
        <v>1513</v>
      </c>
      <c r="O49" s="131">
        <f t="shared" si="20"/>
        <v>2331</v>
      </c>
      <c r="P49" s="131">
        <f t="shared" si="20"/>
        <v>3312</v>
      </c>
      <c r="Q49" s="131">
        <f t="shared" si="20"/>
        <v>4302</v>
      </c>
      <c r="R49" s="131">
        <f t="shared" si="20"/>
        <v>5221</v>
      </c>
      <c r="S49" s="131">
        <f t="shared" si="20"/>
        <v>6140</v>
      </c>
      <c r="T49" s="131">
        <f t="shared" si="20"/>
        <v>6711</v>
      </c>
      <c r="U49" s="131">
        <f t="shared" si="20"/>
        <v>7292</v>
      </c>
      <c r="V49" s="131">
        <f t="shared" si="20"/>
        <v>7882</v>
      </c>
      <c r="W49" s="131">
        <f t="shared" si="20"/>
        <v>8455</v>
      </c>
      <c r="X49" s="132">
        <f t="shared" si="20"/>
        <v>9070</v>
      </c>
      <c r="Y49" s="132">
        <f t="shared" si="20"/>
        <v>9747</v>
      </c>
      <c r="AM49" s="28">
        <f t="shared" si="1"/>
        <v>45218</v>
      </c>
      <c r="AN49" s="30"/>
    </row>
    <row r="50" spans="12:40" x14ac:dyDescent="0.2">
      <c r="L50" s="1" t="s">
        <v>140</v>
      </c>
      <c r="M50" s="129" t="s">
        <v>76</v>
      </c>
      <c r="N50" s="130">
        <f t="shared" ref="N50:Y50" si="21">ROUND(N35*$O$76,0)</f>
        <v>2004</v>
      </c>
      <c r="O50" s="131">
        <f t="shared" si="21"/>
        <v>3087</v>
      </c>
      <c r="P50" s="131">
        <f t="shared" si="21"/>
        <v>4386</v>
      </c>
      <c r="Q50" s="131">
        <f t="shared" si="21"/>
        <v>5698</v>
      </c>
      <c r="R50" s="131">
        <f t="shared" si="21"/>
        <v>6915</v>
      </c>
      <c r="S50" s="131">
        <f t="shared" si="21"/>
        <v>8132</v>
      </c>
      <c r="T50" s="131">
        <f t="shared" si="21"/>
        <v>8888</v>
      </c>
      <c r="U50" s="131">
        <f t="shared" si="21"/>
        <v>9659</v>
      </c>
      <c r="V50" s="131">
        <f t="shared" si="21"/>
        <v>10440</v>
      </c>
      <c r="W50" s="131">
        <f t="shared" si="21"/>
        <v>11199</v>
      </c>
      <c r="X50" s="132">
        <f t="shared" si="21"/>
        <v>12014</v>
      </c>
      <c r="Y50" s="132">
        <f t="shared" si="21"/>
        <v>12911</v>
      </c>
      <c r="AM50" s="28">
        <f t="shared" si="1"/>
        <v>45219</v>
      </c>
      <c r="AN50" s="30"/>
    </row>
    <row r="51" spans="12:40" x14ac:dyDescent="0.2">
      <c r="L51" s="1" t="s">
        <v>141</v>
      </c>
      <c r="M51" s="129" t="s">
        <v>77</v>
      </c>
      <c r="N51" s="130">
        <f>ROUND(VLOOKUP($M51,$M$62:$O$76,3,0)*N$31,0)</f>
        <v>3510</v>
      </c>
      <c r="O51" s="131">
        <f t="shared" ref="O51:R57" si="22">ROUND(VLOOKUP($M51,$M$62:$O$76,3,0)*O$31,0)</f>
        <v>5406</v>
      </c>
      <c r="P51" s="131">
        <f t="shared" si="22"/>
        <v>7680</v>
      </c>
      <c r="Q51" s="131">
        <f t="shared" si="22"/>
        <v>9978</v>
      </c>
      <c r="R51" s="131">
        <f t="shared" si="22"/>
        <v>12110</v>
      </c>
      <c r="S51" s="131">
        <f t="shared" ref="S51:Y57" si="23">ROUND(VLOOKUP($M51,$M$62:$O$76,3,0)*S$31,0)</f>
        <v>14242</v>
      </c>
      <c r="T51" s="131">
        <f t="shared" si="23"/>
        <v>15565</v>
      </c>
      <c r="U51" s="131">
        <f t="shared" si="23"/>
        <v>16915</v>
      </c>
      <c r="V51" s="131">
        <f t="shared" si="23"/>
        <v>18282</v>
      </c>
      <c r="W51" s="131">
        <f t="shared" si="23"/>
        <v>19611</v>
      </c>
      <c r="X51" s="132">
        <f t="shared" si="23"/>
        <v>21039</v>
      </c>
      <c r="Y51" s="132">
        <f t="shared" si="23"/>
        <v>22608</v>
      </c>
      <c r="AM51" s="28">
        <f t="shared" si="1"/>
        <v>45220</v>
      </c>
      <c r="AN51" s="30"/>
    </row>
    <row r="52" spans="12:40" ht="11.25" customHeight="1" x14ac:dyDescent="0.2">
      <c r="L52" s="1" t="s">
        <v>142</v>
      </c>
      <c r="M52" s="129" t="s">
        <v>78</v>
      </c>
      <c r="N52" s="130">
        <f t="shared" ref="N52:N57" si="24">ROUND(VLOOKUP($M52,$M$62:$O$76,3,0)*N$31,0)</f>
        <v>1475</v>
      </c>
      <c r="O52" s="131">
        <f t="shared" si="22"/>
        <v>2272</v>
      </c>
      <c r="P52" s="131">
        <f t="shared" si="22"/>
        <v>3228</v>
      </c>
      <c r="Q52" s="131">
        <f t="shared" si="22"/>
        <v>4194</v>
      </c>
      <c r="R52" s="131">
        <f t="shared" si="22"/>
        <v>5090</v>
      </c>
      <c r="S52" s="131">
        <f t="shared" si="23"/>
        <v>5986</v>
      </c>
      <c r="T52" s="131">
        <f t="shared" si="23"/>
        <v>6543</v>
      </c>
      <c r="U52" s="131">
        <f t="shared" si="23"/>
        <v>7110</v>
      </c>
      <c r="V52" s="131">
        <f t="shared" si="23"/>
        <v>7685</v>
      </c>
      <c r="W52" s="131">
        <f t="shared" si="23"/>
        <v>8243</v>
      </c>
      <c r="X52" s="132">
        <f t="shared" si="23"/>
        <v>8843</v>
      </c>
      <c r="Y52" s="132">
        <f t="shared" si="23"/>
        <v>9503</v>
      </c>
      <c r="AM52" s="28">
        <f t="shared" si="1"/>
        <v>45221</v>
      </c>
      <c r="AN52" s="30"/>
    </row>
    <row r="53" spans="12:40" x14ac:dyDescent="0.2">
      <c r="L53" s="1" t="s">
        <v>143</v>
      </c>
      <c r="M53" s="129" t="s">
        <v>79</v>
      </c>
      <c r="N53" s="130">
        <f t="shared" si="24"/>
        <v>1687</v>
      </c>
      <c r="O53" s="131">
        <f t="shared" si="22"/>
        <v>2598</v>
      </c>
      <c r="P53" s="131">
        <f t="shared" si="22"/>
        <v>3691</v>
      </c>
      <c r="Q53" s="131">
        <f t="shared" si="22"/>
        <v>4796</v>
      </c>
      <c r="R53" s="131">
        <f t="shared" si="22"/>
        <v>5820</v>
      </c>
      <c r="S53" s="131">
        <f t="shared" si="23"/>
        <v>6845</v>
      </c>
      <c r="T53" s="131">
        <f t="shared" si="23"/>
        <v>7481</v>
      </c>
      <c r="U53" s="131">
        <f t="shared" si="23"/>
        <v>8130</v>
      </c>
      <c r="V53" s="131">
        <f t="shared" si="23"/>
        <v>8787</v>
      </c>
      <c r="W53" s="131">
        <f t="shared" si="23"/>
        <v>9426</v>
      </c>
      <c r="X53" s="132">
        <f t="shared" si="23"/>
        <v>10112</v>
      </c>
      <c r="Y53" s="132">
        <f t="shared" si="23"/>
        <v>10866</v>
      </c>
      <c r="AM53" s="28">
        <f t="shared" si="1"/>
        <v>45222</v>
      </c>
      <c r="AN53" s="30"/>
    </row>
    <row r="54" spans="12:40" x14ac:dyDescent="0.2">
      <c r="L54" s="1" t="s">
        <v>144</v>
      </c>
      <c r="M54" s="129" t="s">
        <v>80</v>
      </c>
      <c r="N54" s="130">
        <f t="shared" si="24"/>
        <v>1496</v>
      </c>
      <c r="O54" s="131">
        <f t="shared" si="22"/>
        <v>2304</v>
      </c>
      <c r="P54" s="131">
        <f t="shared" si="22"/>
        <v>3273</v>
      </c>
      <c r="Q54" s="131">
        <f t="shared" si="22"/>
        <v>4252</v>
      </c>
      <c r="R54" s="131">
        <f t="shared" si="22"/>
        <v>5160</v>
      </c>
      <c r="S54" s="131">
        <f t="shared" si="23"/>
        <v>6069</v>
      </c>
      <c r="T54" s="131">
        <f t="shared" si="23"/>
        <v>6633</v>
      </c>
      <c r="U54" s="131">
        <f t="shared" si="23"/>
        <v>7208</v>
      </c>
      <c r="V54" s="131">
        <f t="shared" si="23"/>
        <v>7790</v>
      </c>
      <c r="W54" s="131">
        <f t="shared" si="23"/>
        <v>8357</v>
      </c>
      <c r="X54" s="132">
        <f t="shared" si="23"/>
        <v>8965</v>
      </c>
      <c r="Y54" s="132">
        <f t="shared" si="23"/>
        <v>9634</v>
      </c>
      <c r="AM54" s="28">
        <f t="shared" si="1"/>
        <v>45223</v>
      </c>
      <c r="AN54" s="30"/>
    </row>
    <row r="55" spans="12:40" x14ac:dyDescent="0.2">
      <c r="L55" s="1" t="s">
        <v>145</v>
      </c>
      <c r="M55" s="129" t="s">
        <v>81</v>
      </c>
      <c r="N55" s="130">
        <f t="shared" si="24"/>
        <v>1423</v>
      </c>
      <c r="O55" s="131">
        <f t="shared" si="22"/>
        <v>2191</v>
      </c>
      <c r="P55" s="131">
        <f t="shared" si="22"/>
        <v>3113</v>
      </c>
      <c r="Q55" s="131">
        <f t="shared" si="22"/>
        <v>4045</v>
      </c>
      <c r="R55" s="131">
        <f t="shared" si="22"/>
        <v>4909</v>
      </c>
      <c r="S55" s="131">
        <f t="shared" si="23"/>
        <v>5773</v>
      </c>
      <c r="T55" s="131">
        <f t="shared" si="23"/>
        <v>6309</v>
      </c>
      <c r="U55" s="131">
        <f t="shared" si="23"/>
        <v>6857</v>
      </c>
      <c r="V55" s="131">
        <f t="shared" si="23"/>
        <v>7411</v>
      </c>
      <c r="W55" s="131">
        <f t="shared" si="23"/>
        <v>7950</v>
      </c>
      <c r="X55" s="132">
        <f t="shared" si="23"/>
        <v>8528</v>
      </c>
      <c r="Y55" s="132">
        <f t="shared" si="23"/>
        <v>9164</v>
      </c>
      <c r="AM55" s="28">
        <f t="shared" si="1"/>
        <v>45224</v>
      </c>
      <c r="AN55" s="30"/>
    </row>
    <row r="56" spans="12:40" x14ac:dyDescent="0.2">
      <c r="L56" s="1" t="s">
        <v>146</v>
      </c>
      <c r="M56" s="129" t="s">
        <v>82</v>
      </c>
      <c r="N56" s="130">
        <f t="shared" si="24"/>
        <v>1423</v>
      </c>
      <c r="O56" s="131">
        <f t="shared" si="22"/>
        <v>2191</v>
      </c>
      <c r="P56" s="131">
        <f t="shared" si="22"/>
        <v>3113</v>
      </c>
      <c r="Q56" s="131">
        <f t="shared" si="22"/>
        <v>4045</v>
      </c>
      <c r="R56" s="131">
        <f t="shared" si="22"/>
        <v>4909</v>
      </c>
      <c r="S56" s="131">
        <f t="shared" si="23"/>
        <v>5773</v>
      </c>
      <c r="T56" s="131">
        <f t="shared" si="23"/>
        <v>6309</v>
      </c>
      <c r="U56" s="131">
        <f t="shared" si="23"/>
        <v>6857</v>
      </c>
      <c r="V56" s="131">
        <f t="shared" si="23"/>
        <v>7411</v>
      </c>
      <c r="W56" s="131">
        <f t="shared" si="23"/>
        <v>7950</v>
      </c>
      <c r="X56" s="132">
        <f t="shared" si="23"/>
        <v>8528</v>
      </c>
      <c r="Y56" s="132">
        <f t="shared" si="23"/>
        <v>9164</v>
      </c>
      <c r="AM56" s="28">
        <f t="shared" si="1"/>
        <v>45225</v>
      </c>
      <c r="AN56" s="30"/>
    </row>
    <row r="57" spans="12:40" x14ac:dyDescent="0.2">
      <c r="L57" s="1" t="s">
        <v>147</v>
      </c>
      <c r="M57" s="129" t="s">
        <v>83</v>
      </c>
      <c r="N57" s="130">
        <f t="shared" si="24"/>
        <v>1821</v>
      </c>
      <c r="O57" s="131">
        <f t="shared" si="22"/>
        <v>2805</v>
      </c>
      <c r="P57" s="131">
        <f t="shared" si="22"/>
        <v>3985</v>
      </c>
      <c r="Q57" s="131">
        <f t="shared" si="22"/>
        <v>5177</v>
      </c>
      <c r="R57" s="131">
        <f t="shared" si="22"/>
        <v>6283</v>
      </c>
      <c r="S57" s="131">
        <f t="shared" si="23"/>
        <v>7389</v>
      </c>
      <c r="T57" s="131">
        <f t="shared" si="23"/>
        <v>8076</v>
      </c>
      <c r="U57" s="131">
        <f t="shared" si="23"/>
        <v>8776</v>
      </c>
      <c r="V57" s="131">
        <f t="shared" si="23"/>
        <v>9485</v>
      </c>
      <c r="W57" s="131">
        <f t="shared" si="23"/>
        <v>10175</v>
      </c>
      <c r="X57" s="132">
        <f t="shared" si="23"/>
        <v>10915</v>
      </c>
      <c r="Y57" s="132">
        <f t="shared" si="23"/>
        <v>11730</v>
      </c>
      <c r="AM57" s="28">
        <f t="shared" si="1"/>
        <v>45226</v>
      </c>
      <c r="AN57" s="30"/>
    </row>
    <row r="58" spans="12:40" x14ac:dyDescent="0.2">
      <c r="O58" s="33">
        <v>0.8</v>
      </c>
      <c r="P58" s="33">
        <v>0.92</v>
      </c>
      <c r="Q58" s="33">
        <v>0.95</v>
      </c>
      <c r="R58" s="33">
        <v>0.95</v>
      </c>
      <c r="S58" s="33">
        <v>0.96</v>
      </c>
      <c r="T58" s="33">
        <v>0.96</v>
      </c>
      <c r="U58" s="33">
        <v>0.97</v>
      </c>
      <c r="V58" s="33">
        <v>0.97</v>
      </c>
      <c r="W58" s="33">
        <v>0.97</v>
      </c>
      <c r="X58" s="33">
        <v>0.97</v>
      </c>
      <c r="Y58" s="33">
        <v>0.97</v>
      </c>
      <c r="AM58" s="28">
        <f t="shared" si="1"/>
        <v>45227</v>
      </c>
      <c r="AN58" s="30"/>
    </row>
    <row r="59" spans="12:40" x14ac:dyDescent="0.2">
      <c r="AM59" s="28">
        <f t="shared" si="1"/>
        <v>45228</v>
      </c>
      <c r="AN59" s="30"/>
    </row>
    <row r="60" spans="12:40" x14ac:dyDescent="0.2">
      <c r="AM60" s="28">
        <f t="shared" si="1"/>
        <v>45229</v>
      </c>
      <c r="AN60" s="30"/>
    </row>
    <row r="61" spans="12:40" x14ac:dyDescent="0.2">
      <c r="M61" s="39" t="s">
        <v>94</v>
      </c>
      <c r="N61" s="39" t="s">
        <v>95</v>
      </c>
      <c r="O61" s="2"/>
      <c r="P61" s="2" t="s">
        <v>96</v>
      </c>
      <c r="AM61" s="28">
        <f t="shared" si="1"/>
        <v>45230</v>
      </c>
      <c r="AN61" s="30"/>
    </row>
    <row r="62" spans="12:40" ht="11.25" customHeight="1" x14ac:dyDescent="0.2">
      <c r="M62" t="s">
        <v>57</v>
      </c>
      <c r="N62">
        <v>29.2</v>
      </c>
      <c r="O62" s="51">
        <f>IF(($N$62*(1+P62))/N62&lt;1,1.05,($N$62*(1+P62))/N62)</f>
        <v>1</v>
      </c>
      <c r="P62" s="51">
        <v>0</v>
      </c>
      <c r="AM62" s="28">
        <f t="shared" si="1"/>
        <v>45231</v>
      </c>
      <c r="AN62" s="30"/>
    </row>
    <row r="63" spans="12:40" x14ac:dyDescent="0.2">
      <c r="M63" t="s">
        <v>58</v>
      </c>
      <c r="N63">
        <v>27.2</v>
      </c>
      <c r="O63" s="51">
        <f t="shared" ref="O63:O76" si="25">IF(($N$62*(1+P63))/N63&lt;1,1.05,($N$62*(1+P63))/N63)</f>
        <v>1.1808823529411767</v>
      </c>
      <c r="P63" s="51">
        <v>0.1</v>
      </c>
      <c r="AM63" s="28">
        <f t="shared" si="1"/>
        <v>45232</v>
      </c>
      <c r="AN63" s="30"/>
    </row>
    <row r="64" spans="12:40" x14ac:dyDescent="0.2">
      <c r="M64" t="s">
        <v>59</v>
      </c>
      <c r="N64">
        <v>29.1</v>
      </c>
      <c r="O64" s="51">
        <f t="shared" si="25"/>
        <v>1.1037800687285224</v>
      </c>
      <c r="P64" s="51">
        <v>0.1</v>
      </c>
      <c r="AM64" s="28">
        <f t="shared" si="1"/>
        <v>45233</v>
      </c>
      <c r="AN64" s="30"/>
    </row>
    <row r="65" spans="12:40" x14ac:dyDescent="0.2">
      <c r="M65" t="s">
        <v>60</v>
      </c>
      <c r="N65">
        <v>30.2</v>
      </c>
      <c r="O65" s="51">
        <f t="shared" si="25"/>
        <v>1.0635761589403976</v>
      </c>
      <c r="P65" s="51">
        <v>0.1</v>
      </c>
      <c r="AM65" s="28">
        <f t="shared" si="1"/>
        <v>45234</v>
      </c>
      <c r="AN65" s="30"/>
    </row>
    <row r="66" spans="12:40" x14ac:dyDescent="0.2">
      <c r="M66" s="29" t="s">
        <v>61</v>
      </c>
      <c r="N66" s="29">
        <v>22.8</v>
      </c>
      <c r="O66" s="51">
        <f t="shared" si="25"/>
        <v>1.4087719298245616</v>
      </c>
      <c r="P66" s="51">
        <v>0.1</v>
      </c>
      <c r="AM66" s="28">
        <f t="shared" si="1"/>
        <v>45235</v>
      </c>
      <c r="AN66" s="30"/>
    </row>
    <row r="67" spans="12:40" ht="11.25" customHeight="1" x14ac:dyDescent="0.2">
      <c r="M67" t="s">
        <v>77</v>
      </c>
      <c r="N67">
        <v>12.4</v>
      </c>
      <c r="O67" s="51">
        <f t="shared" si="25"/>
        <v>2.5903225806451617</v>
      </c>
      <c r="P67" s="51">
        <v>0.1</v>
      </c>
    </row>
    <row r="68" spans="12:40" x14ac:dyDescent="0.2">
      <c r="M68" t="s">
        <v>78</v>
      </c>
      <c r="N68">
        <v>29.5</v>
      </c>
      <c r="O68" s="51">
        <f t="shared" si="25"/>
        <v>1.0888135593220341</v>
      </c>
      <c r="P68" s="51">
        <v>0.1</v>
      </c>
    </row>
    <row r="69" spans="12:40" x14ac:dyDescent="0.2">
      <c r="M69" t="s">
        <v>79</v>
      </c>
      <c r="N69">
        <v>25.8</v>
      </c>
      <c r="O69" s="51">
        <f t="shared" si="25"/>
        <v>1.2449612403100776</v>
      </c>
      <c r="P69" s="51">
        <v>0.1</v>
      </c>
      <c r="AN69" t="s">
        <v>101</v>
      </c>
    </row>
    <row r="70" spans="12:40" x14ac:dyDescent="0.2">
      <c r="M70" t="s">
        <v>80</v>
      </c>
      <c r="N70">
        <v>29.1</v>
      </c>
      <c r="O70" s="51">
        <f t="shared" si="25"/>
        <v>1.1037800687285224</v>
      </c>
      <c r="P70" s="51">
        <v>0.1</v>
      </c>
      <c r="AM70" t="s">
        <v>28</v>
      </c>
      <c r="AN70" s="59"/>
    </row>
    <row r="71" spans="12:40" ht="11.25" customHeight="1" x14ac:dyDescent="0.2">
      <c r="M71" t="s">
        <v>81</v>
      </c>
      <c r="N71">
        <v>35.1</v>
      </c>
      <c r="O71" s="51">
        <f t="shared" si="25"/>
        <v>1.05</v>
      </c>
      <c r="P71" s="51">
        <v>0.1</v>
      </c>
      <c r="AM71" t="s">
        <v>29</v>
      </c>
      <c r="AN71" s="59"/>
    </row>
    <row r="72" spans="12:40" ht="11.25" customHeight="1" x14ac:dyDescent="0.2">
      <c r="M72" t="s">
        <v>82</v>
      </c>
      <c r="N72">
        <v>45.1</v>
      </c>
      <c r="O72" s="51">
        <f t="shared" si="25"/>
        <v>1.05</v>
      </c>
      <c r="P72" s="51">
        <v>0.1</v>
      </c>
    </row>
    <row r="73" spans="12:40" x14ac:dyDescent="0.2">
      <c r="M73" s="29" t="s">
        <v>83</v>
      </c>
      <c r="N73" s="29">
        <v>23.9</v>
      </c>
      <c r="O73" s="51">
        <f t="shared" si="25"/>
        <v>1.3439330543933057</v>
      </c>
      <c r="P73" s="51">
        <v>0.1</v>
      </c>
    </row>
    <row r="74" spans="12:40" x14ac:dyDescent="0.2">
      <c r="M74" t="s">
        <v>84</v>
      </c>
      <c r="N74">
        <v>31.3</v>
      </c>
      <c r="O74" s="51">
        <f t="shared" si="25"/>
        <v>1.0261980830670927</v>
      </c>
      <c r="P74" s="51">
        <v>0.1</v>
      </c>
    </row>
    <row r="75" spans="12:40" x14ac:dyDescent="0.2">
      <c r="M75" t="s">
        <v>85</v>
      </c>
      <c r="N75">
        <v>27.1</v>
      </c>
      <c r="O75" s="51">
        <f t="shared" si="25"/>
        <v>1.1852398523985241</v>
      </c>
      <c r="P75" s="51">
        <v>0.1</v>
      </c>
    </row>
    <row r="76" spans="12:40" x14ac:dyDescent="0.2">
      <c r="M76" s="39" t="s">
        <v>86</v>
      </c>
      <c r="N76" s="39">
        <v>69.900000000000006</v>
      </c>
      <c r="O76" s="51">
        <f t="shared" si="25"/>
        <v>1.05</v>
      </c>
      <c r="P76" s="51">
        <v>0.2</v>
      </c>
      <c r="V76"/>
      <c r="W76"/>
    </row>
    <row r="77" spans="12:40" ht="11.25" customHeight="1" x14ac:dyDescent="0.2">
      <c r="M77"/>
      <c r="N77"/>
      <c r="V77"/>
      <c r="W77"/>
    </row>
    <row r="78" spans="12:40" x14ac:dyDescent="0.2">
      <c r="U78"/>
      <c r="V78"/>
      <c r="W78"/>
    </row>
    <row r="79" spans="12:40" x14ac:dyDescent="0.2">
      <c r="L79" s="1" t="s">
        <v>121</v>
      </c>
      <c r="M79" s="52" t="s">
        <v>57</v>
      </c>
      <c r="N79" s="53">
        <f>O62</f>
        <v>1</v>
      </c>
    </row>
    <row r="80" spans="12:40" x14ac:dyDescent="0.2">
      <c r="L80" s="1" t="s">
        <v>122</v>
      </c>
      <c r="M80" s="1" t="s">
        <v>58</v>
      </c>
      <c r="N80" s="54">
        <f>O63</f>
        <v>1.1808823529411767</v>
      </c>
    </row>
    <row r="81" spans="12:23" x14ac:dyDescent="0.2">
      <c r="L81" s="1" t="s">
        <v>123</v>
      </c>
      <c r="M81" s="1" t="s">
        <v>59</v>
      </c>
      <c r="N81" s="54">
        <f>O64</f>
        <v>1.1037800687285224</v>
      </c>
    </row>
    <row r="82" spans="12:23" x14ac:dyDescent="0.2">
      <c r="L82" s="1" t="s">
        <v>124</v>
      </c>
      <c r="M82" s="1" t="s">
        <v>60</v>
      </c>
      <c r="N82" s="54">
        <f>O65</f>
        <v>1.0635761589403976</v>
      </c>
    </row>
    <row r="83" spans="12:23" x14ac:dyDescent="0.2">
      <c r="L83" s="1" t="s">
        <v>125</v>
      </c>
      <c r="M83" s="57" t="s">
        <v>61</v>
      </c>
      <c r="N83" s="58">
        <f>O66</f>
        <v>1.4087719298245616</v>
      </c>
    </row>
    <row r="84" spans="12:23" x14ac:dyDescent="0.2">
      <c r="L84" s="1" t="s">
        <v>126</v>
      </c>
      <c r="M84" s="1" t="s">
        <v>62</v>
      </c>
      <c r="N84" s="54">
        <f>N79*$O$74</f>
        <v>1.0261980830670927</v>
      </c>
    </row>
    <row r="85" spans="12:23" x14ac:dyDescent="0.2">
      <c r="L85" s="1" t="s">
        <v>127</v>
      </c>
      <c r="M85" s="1" t="s">
        <v>63</v>
      </c>
      <c r="N85" s="54">
        <f>N80*$O$74</f>
        <v>1.2118192069159937</v>
      </c>
    </row>
    <row r="86" spans="12:23" x14ac:dyDescent="0.2">
      <c r="L86" s="1" t="s">
        <v>128</v>
      </c>
      <c r="M86" s="1" t="s">
        <v>64</v>
      </c>
      <c r="N86" s="54">
        <f>N81*$O$74</f>
        <v>1.1326969906568736</v>
      </c>
    </row>
    <row r="87" spans="12:23" x14ac:dyDescent="0.2">
      <c r="L87" s="1" t="s">
        <v>129</v>
      </c>
      <c r="M87" s="1" t="s">
        <v>65</v>
      </c>
      <c r="N87" s="54">
        <f>N82*$O$74</f>
        <v>1.0914398155004976</v>
      </c>
    </row>
    <row r="88" spans="12:23" x14ac:dyDescent="0.2">
      <c r="L88" s="1" t="s">
        <v>130</v>
      </c>
      <c r="M88" s="57" t="s">
        <v>66</v>
      </c>
      <c r="N88" s="58">
        <f>N83*$O$74</f>
        <v>1.445679053864694</v>
      </c>
      <c r="Q88" s="11"/>
      <c r="R88" s="11"/>
      <c r="S88" s="11"/>
      <c r="T88" s="11"/>
      <c r="U88" s="11"/>
      <c r="V88" s="11"/>
      <c r="W88" s="11"/>
    </row>
    <row r="89" spans="12:23" x14ac:dyDescent="0.2">
      <c r="L89" s="1" t="s">
        <v>131</v>
      </c>
      <c r="M89" s="1" t="s">
        <v>67</v>
      </c>
      <c r="N89" s="54">
        <f>N79*$O$75</f>
        <v>1.1852398523985241</v>
      </c>
      <c r="V89"/>
      <c r="W89"/>
    </row>
    <row r="90" spans="12:23" x14ac:dyDescent="0.2">
      <c r="L90" s="1" t="s">
        <v>132</v>
      </c>
      <c r="M90" s="1" t="s">
        <v>68</v>
      </c>
      <c r="N90" s="54">
        <f>N80*$O$75</f>
        <v>1.3996288257000222</v>
      </c>
      <c r="V90"/>
      <c r="W90"/>
    </row>
    <row r="91" spans="12:23" ht="11.25" customHeight="1" x14ac:dyDescent="0.2">
      <c r="L91" s="1" t="s">
        <v>133</v>
      </c>
      <c r="M91" s="1" t="s">
        <v>69</v>
      </c>
      <c r="N91" s="54">
        <f>N81*$O$75</f>
        <v>1.3082441257402266</v>
      </c>
      <c r="V91"/>
      <c r="W91"/>
    </row>
    <row r="92" spans="12:23" x14ac:dyDescent="0.2">
      <c r="L92" s="1" t="s">
        <v>134</v>
      </c>
      <c r="M92" s="1" t="s">
        <v>70</v>
      </c>
      <c r="N92" s="54">
        <f>N82*$O$75</f>
        <v>1.2605928496371062</v>
      </c>
      <c r="V92"/>
      <c r="W92"/>
    </row>
    <row r="93" spans="12:23" x14ac:dyDescent="0.2">
      <c r="L93" s="1" t="s">
        <v>135</v>
      </c>
      <c r="M93" s="55" t="s">
        <v>71</v>
      </c>
      <c r="N93" s="56">
        <f>N83*$O$75</f>
        <v>1.6697326341684473</v>
      </c>
      <c r="V93"/>
      <c r="W93"/>
    </row>
    <row r="94" spans="12:23" x14ac:dyDescent="0.2">
      <c r="V94"/>
      <c r="W94"/>
    </row>
    <row r="99" spans="13:19" x14ac:dyDescent="0.2">
      <c r="M99" s="11"/>
      <c r="N99" s="11"/>
      <c r="O99" s="11"/>
      <c r="P99" s="11"/>
      <c r="Q99" s="11"/>
    </row>
    <row r="100" spans="13:19" x14ac:dyDescent="0.2">
      <c r="M100" s="11"/>
      <c r="N100" s="11"/>
      <c r="O100" s="11"/>
      <c r="P100" s="11"/>
      <c r="Q100" s="11"/>
    </row>
    <row r="101" spans="13:19" x14ac:dyDescent="0.2">
      <c r="M101" s="11"/>
      <c r="N101" s="11"/>
      <c r="O101" s="11"/>
      <c r="P101" s="11"/>
      <c r="Q101" s="11"/>
    </row>
    <row r="102" spans="13:19" ht="11.25" customHeight="1" x14ac:dyDescent="0.2">
      <c r="M102" s="11"/>
      <c r="N102" s="11"/>
      <c r="O102" s="11"/>
      <c r="P102" s="11"/>
      <c r="Q102" s="11"/>
    </row>
    <row r="103" spans="13:19" x14ac:dyDescent="0.2">
      <c r="M103" s="11"/>
      <c r="N103" s="11"/>
      <c r="O103" s="11"/>
      <c r="P103" s="11"/>
      <c r="Q103" s="11"/>
    </row>
    <row r="104" spans="13:19" x14ac:dyDescent="0.2">
      <c r="M104" s="11"/>
      <c r="N104" s="11"/>
      <c r="O104" s="11"/>
      <c r="P104" s="11"/>
      <c r="Q104" s="11"/>
      <c r="R104" s="11"/>
    </row>
    <row r="105" spans="13:19" x14ac:dyDescent="0.2">
      <c r="M105" s="11"/>
      <c r="N105" s="11"/>
      <c r="O105" s="11"/>
      <c r="P105" s="11"/>
      <c r="Q105" s="11"/>
      <c r="R105" s="11"/>
      <c r="S105" s="11"/>
    </row>
    <row r="106" spans="13:19" x14ac:dyDescent="0.2">
      <c r="M106" s="11"/>
      <c r="N106" s="11"/>
      <c r="O106" s="11"/>
      <c r="P106" s="11"/>
      <c r="Q106" s="11"/>
      <c r="R106" s="11"/>
      <c r="S106" s="11"/>
    </row>
    <row r="107" spans="13:19" x14ac:dyDescent="0.2">
      <c r="M107" s="11"/>
      <c r="N107" s="11"/>
      <c r="O107" s="11"/>
      <c r="P107" s="11"/>
      <c r="Q107" s="11"/>
      <c r="R107" s="11"/>
      <c r="S107" s="11"/>
    </row>
    <row r="108" spans="13:19" x14ac:dyDescent="0.2">
      <c r="M108" s="11"/>
      <c r="N108" s="11"/>
      <c r="O108" s="11"/>
      <c r="P108" s="11"/>
      <c r="Q108" s="11"/>
      <c r="R108" s="11"/>
      <c r="S108" s="11"/>
    </row>
    <row r="109" spans="13:19" x14ac:dyDescent="0.2">
      <c r="M109" s="11"/>
      <c r="N109" s="11"/>
      <c r="O109" s="11"/>
      <c r="P109" s="11"/>
      <c r="Q109" s="11"/>
      <c r="R109" s="11"/>
      <c r="S109" s="11"/>
    </row>
    <row r="110" spans="13:19" x14ac:dyDescent="0.2">
      <c r="M110" s="11"/>
      <c r="N110" s="11"/>
      <c r="O110" s="11"/>
      <c r="P110" s="11"/>
      <c r="Q110" s="11"/>
      <c r="R110" s="11"/>
      <c r="S110" s="11"/>
    </row>
    <row r="111" spans="13:19" x14ac:dyDescent="0.2">
      <c r="M111" s="11"/>
      <c r="N111" s="11"/>
      <c r="O111" s="11"/>
      <c r="P111" s="11"/>
      <c r="Q111" s="11"/>
      <c r="R111" s="11"/>
      <c r="S111" s="11"/>
    </row>
    <row r="112" spans="13:19" x14ac:dyDescent="0.2">
      <c r="M112" s="11"/>
      <c r="N112" s="11"/>
      <c r="O112" s="11"/>
      <c r="P112" s="11"/>
      <c r="Q112" s="11"/>
      <c r="R112" s="11"/>
      <c r="S112" s="11"/>
    </row>
    <row r="113" spans="13:19" x14ac:dyDescent="0.2">
      <c r="M113" s="11"/>
      <c r="N113" s="11"/>
      <c r="O113" s="11"/>
      <c r="P113" s="11"/>
      <c r="Q113" s="11"/>
      <c r="R113" s="11"/>
      <c r="S113" s="11"/>
    </row>
    <row r="114" spans="13:19" x14ac:dyDescent="0.2">
      <c r="M114" s="11"/>
      <c r="N114" s="11"/>
      <c r="O114" s="11"/>
      <c r="P114" s="11"/>
      <c r="Q114" s="11"/>
      <c r="R114" s="11"/>
      <c r="S114" s="11"/>
    </row>
  </sheetData>
  <mergeCells count="33">
    <mergeCell ref="AR1:AU1"/>
    <mergeCell ref="AM1:AN1"/>
    <mergeCell ref="AS2:AT2"/>
    <mergeCell ref="AS3:AT3"/>
    <mergeCell ref="AS4:AT4"/>
    <mergeCell ref="AS9:AT9"/>
    <mergeCell ref="AS10:AT10"/>
    <mergeCell ref="AU2:AU4"/>
    <mergeCell ref="AU5:AU6"/>
    <mergeCell ref="I23:K23"/>
    <mergeCell ref="AU7:AU8"/>
    <mergeCell ref="AS5:AT5"/>
    <mergeCell ref="AS6:AT6"/>
    <mergeCell ref="AS7:AT7"/>
    <mergeCell ref="AS8:AT8"/>
    <mergeCell ref="S6:AB6"/>
    <mergeCell ref="S13:AE13"/>
    <mergeCell ref="AA30:AB30"/>
    <mergeCell ref="F1:G1"/>
    <mergeCell ref="F5:G5"/>
    <mergeCell ref="I16:K16"/>
    <mergeCell ref="I22:K22"/>
    <mergeCell ref="S2:AE2"/>
    <mergeCell ref="S1:AE1"/>
    <mergeCell ref="M5:M13"/>
    <mergeCell ref="I1:K1"/>
    <mergeCell ref="I2:K2"/>
    <mergeCell ref="I8:K8"/>
    <mergeCell ref="I9:K9"/>
    <mergeCell ref="I15:K15"/>
    <mergeCell ref="AD6:AE6"/>
    <mergeCell ref="AD7:AE9"/>
    <mergeCell ref="S12:AE12"/>
  </mergeCells>
  <conditionalFormatting sqref="M31:Y57">
    <cfRule type="expression" dxfId="4" priority="3">
      <formula>LEFT($M31,2)&lt;&gt;LEFT($M32,2)</formula>
    </cfRule>
  </conditionalFormatting>
  <conditionalFormatting sqref="AK11">
    <cfRule type="expression" dxfId="3" priority="1">
      <formula>WEEKDAY($AM11)=7</formula>
    </cfRule>
    <cfRule type="expression" dxfId="2" priority="2">
      <formula>WEEKDAY($AM11)=6</formula>
    </cfRule>
  </conditionalFormatting>
  <conditionalFormatting sqref="AM4:AN66">
    <cfRule type="expression" dxfId="1" priority="4">
      <formula>WEEKDAY($AM4)=7</formula>
    </cfRule>
    <cfRule type="expression" dxfId="0" priority="5">
      <formula>WEEKDAY($AM4)=6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W70"/>
  <sheetViews>
    <sheetView showGridLines="0" showRowColHeaders="0" workbookViewId="0">
      <pane xSplit="1" ySplit="4" topLeftCell="B5" activePane="bottomRight" state="frozen"/>
      <selection activeCell="O17" sqref="O17"/>
      <selection pane="topRight" activeCell="O17" sqref="O17"/>
      <selection pane="bottomLeft" activeCell="O17" sqref="O17"/>
      <selection pane="bottomRight" activeCell="O17" sqref="O17"/>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September 2023 | Vika 37</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36'!T4+1</f>
        <v>45180</v>
      </c>
      <c r="C4" s="226"/>
      <c r="D4" s="218" t="s">
        <v>44</v>
      </c>
      <c r="E4" s="232">
        <f>B4+1</f>
        <v>45181</v>
      </c>
      <c r="F4" s="226"/>
      <c r="G4" s="219" t="s">
        <v>44</v>
      </c>
      <c r="H4" s="226">
        <f>E4+1</f>
        <v>45182</v>
      </c>
      <c r="I4" s="226"/>
      <c r="J4" s="218" t="s">
        <v>44</v>
      </c>
      <c r="K4" s="232">
        <f>H4+1</f>
        <v>45183</v>
      </c>
      <c r="L4" s="226"/>
      <c r="M4" s="219" t="s">
        <v>44</v>
      </c>
      <c r="N4" s="226">
        <f>K4+1</f>
        <v>45184</v>
      </c>
      <c r="O4" s="226"/>
      <c r="P4" s="218" t="s">
        <v>44</v>
      </c>
      <c r="Q4" s="232">
        <f>N4+1</f>
        <v>45185</v>
      </c>
      <c r="R4" s="226"/>
      <c r="S4" s="219" t="s">
        <v>44</v>
      </c>
      <c r="T4" s="226">
        <f>Q4+1</f>
        <v>45186</v>
      </c>
      <c r="U4" s="226"/>
      <c r="V4" s="219" t="s">
        <v>44</v>
      </c>
      <c r="W4" s="61"/>
    </row>
    <row r="5" spans="1:23" ht="11.25" customHeight="1" x14ac:dyDescent="0.2">
      <c r="A5" s="227" t="s">
        <v>12</v>
      </c>
      <c r="B5" s="209">
        <v>0.75</v>
      </c>
      <c r="C5" s="210" t="s">
        <v>35</v>
      </c>
      <c r="D5" s="211">
        <f>IF(C5="","",IFERROR(VLOOKUP(C5,Punktar!$A:$B,2,0),""))</f>
        <v>1</v>
      </c>
      <c r="E5" s="209">
        <v>0.75</v>
      </c>
      <c r="F5" s="210" t="s">
        <v>35</v>
      </c>
      <c r="G5" s="211">
        <f>IF(F5="","",IFERROR(VLOOKUP(F5,Punktar!$A:$B,2,0),""))</f>
        <v>1</v>
      </c>
      <c r="H5" s="209">
        <v>0.75</v>
      </c>
      <c r="I5" s="210" t="s">
        <v>35</v>
      </c>
      <c r="J5" s="211">
        <f>IF(I5="","",IFERROR(VLOOKUP(I5,Punktar!$A:$B,2,0),""))</f>
        <v>1</v>
      </c>
      <c r="K5" s="209">
        <v>0.75</v>
      </c>
      <c r="L5" s="210" t="s">
        <v>35</v>
      </c>
      <c r="M5" s="211">
        <f>IF(L5="","",IFERROR(VLOOKUP(L5,Punktar!$A:$B,2,0),""))</f>
        <v>1</v>
      </c>
      <c r="N5" s="209">
        <v>0.75347222222222221</v>
      </c>
      <c r="O5" s="210" t="s">
        <v>35</v>
      </c>
      <c r="P5" s="211">
        <f>IF(O5="","",IFERROR(VLOOKUP(O5,Punktar!$A:$B,2,0),""))</f>
        <v>1</v>
      </c>
      <c r="Q5" s="209">
        <v>0.76736111111111116</v>
      </c>
      <c r="R5" s="210" t="s">
        <v>152</v>
      </c>
      <c r="S5" s="211">
        <f>IF(R5="","",IFERROR(VLOOKUP(R5,Punktar!$A:$B,2,0),""))</f>
        <v>3</v>
      </c>
      <c r="T5" s="209">
        <v>0.73611111111111116</v>
      </c>
      <c r="U5" s="210" t="s">
        <v>98</v>
      </c>
      <c r="V5" s="211">
        <f>IF(U5="","",IFERROR(VLOOKUP(U5,Punktar!$A:$B,2,0),""))</f>
        <v>1</v>
      </c>
      <c r="W5" s="61"/>
    </row>
    <row r="6" spans="1:23" x14ac:dyDescent="0.2">
      <c r="A6" s="228"/>
      <c r="B6" s="212">
        <v>0.76736111111111116</v>
      </c>
      <c r="C6" s="22" t="s">
        <v>152</v>
      </c>
      <c r="D6" s="213">
        <f>IF(C6="","",IFERROR(VLOOKUP(C6,Punktar!$A:$B,2,0),""))</f>
        <v>3</v>
      </c>
      <c r="E6" s="212">
        <v>0.76736111111111116</v>
      </c>
      <c r="F6" s="22" t="s">
        <v>152</v>
      </c>
      <c r="G6" s="213">
        <f>IF(F6="","",IFERROR(VLOOKUP(F6,Punktar!$A:$B,2,0),""))</f>
        <v>3</v>
      </c>
      <c r="H6" s="212">
        <v>0.76736111111111116</v>
      </c>
      <c r="I6" s="22" t="s">
        <v>152</v>
      </c>
      <c r="J6" s="213">
        <f>IF(I6="","",IFERROR(VLOOKUP(I6,Punktar!$A:$B,2,0),""))</f>
        <v>3</v>
      </c>
      <c r="K6" s="212">
        <v>0.76736111111111116</v>
      </c>
      <c r="L6" s="22" t="s">
        <v>152</v>
      </c>
      <c r="M6" s="213">
        <f>IF(L6="","",IFERROR(VLOOKUP(L6,Punktar!$A:$B,2,0),""))</f>
        <v>3</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0.77083333333333337</v>
      </c>
      <c r="C7" s="22" t="s">
        <v>37</v>
      </c>
      <c r="D7" s="213">
        <f>IF(C7="","",IFERROR(VLOOKUP(C7,Punktar!$A:$B,2,0),""))</f>
        <v>8</v>
      </c>
      <c r="E7" s="212">
        <v>0.77083333333333337</v>
      </c>
      <c r="F7" s="22" t="s">
        <v>37</v>
      </c>
      <c r="G7" s="213">
        <f>IF(F7="","",IFERROR(VLOOKUP(F7,Punktar!$A:$B,2,0),""))</f>
        <v>8</v>
      </c>
      <c r="H7" s="212">
        <v>0.77083333333333337</v>
      </c>
      <c r="I7" s="22" t="s">
        <v>37</v>
      </c>
      <c r="J7" s="213">
        <f>IF(I7="","",IFERROR(VLOOKUP(I7,Punktar!$A:$B,2,0),""))</f>
        <v>8</v>
      </c>
      <c r="K7" s="212">
        <v>0.77083333333333337</v>
      </c>
      <c r="L7" s="22" t="s">
        <v>37</v>
      </c>
      <c r="M7" s="213">
        <f>IF(L7="","",IFERROR(VLOOKUP(L7,Punktar!$A:$B,2,0),""))</f>
        <v>8</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0.78472222222222221</v>
      </c>
      <c r="C8" s="22" t="s">
        <v>36</v>
      </c>
      <c r="D8" s="213">
        <f>IF(C8="","",IFERROR(VLOOKUP(C8,Punktar!$A:$B,2,0),""))</f>
        <v>6</v>
      </c>
      <c r="E8" s="212">
        <v>0.78472222222222221</v>
      </c>
      <c r="F8" s="22" t="s">
        <v>36</v>
      </c>
      <c r="G8" s="213">
        <f>IF(F8="","",IFERROR(VLOOKUP(F8,Punktar!$A:$B,2,0),""))</f>
        <v>6</v>
      </c>
      <c r="H8" s="212">
        <v>0.78472222222222221</v>
      </c>
      <c r="I8" s="22" t="s">
        <v>36</v>
      </c>
      <c r="J8" s="213">
        <f>IF(I8="","",IFERROR(VLOOKUP(I8,Punktar!$A:$B,2,0),""))</f>
        <v>6</v>
      </c>
      <c r="K8" s="212">
        <v>0.78472222222222221</v>
      </c>
      <c r="L8" s="22" t="s">
        <v>36</v>
      </c>
      <c r="M8" s="213">
        <f>IF(L8="","",IFERROR(VLOOKUP(L8,Punktar!$A:$B,2,0),""))</f>
        <v>6</v>
      </c>
      <c r="N8" s="212">
        <v>0.78472222222222221</v>
      </c>
      <c r="O8" s="22" t="s">
        <v>36</v>
      </c>
      <c r="P8" s="213">
        <f>IF(O8="","",IFERROR(VLOOKUP(O8,Punktar!$A:$B,2,0),""))</f>
        <v>6</v>
      </c>
      <c r="Q8" s="212">
        <v>0.79166666666666663</v>
      </c>
      <c r="R8" s="22" t="s">
        <v>212</v>
      </c>
      <c r="S8" s="213">
        <f>IF(R8="","",IFERROR(VLOOKUP(R8,Punktar!$A:$B,2,0),""))</f>
        <v>5</v>
      </c>
      <c r="T8" s="212">
        <v>0.78472222222222221</v>
      </c>
      <c r="U8" s="22" t="s">
        <v>36</v>
      </c>
      <c r="V8" s="213">
        <f>IF(U8="","",IFERROR(VLOOKUP(U8,Punktar!$A:$B,2,0),""))</f>
        <v>6</v>
      </c>
      <c r="W8" s="61"/>
    </row>
    <row r="9" spans="1:23" x14ac:dyDescent="0.2">
      <c r="A9" s="228"/>
      <c r="B9" s="212">
        <v>0.78819444444444453</v>
      </c>
      <c r="C9" s="22" t="s">
        <v>148</v>
      </c>
      <c r="D9" s="213" t="str">
        <f>IF(C9="","",IFERROR(VLOOKUP(C9,Punktar!$A:$B,2,0),""))</f>
        <v>-</v>
      </c>
      <c r="E9" s="212">
        <v>0.78819444444444453</v>
      </c>
      <c r="F9" s="22" t="s">
        <v>148</v>
      </c>
      <c r="G9" s="213" t="str">
        <f>IF(F9="","",IFERROR(VLOOKUP(F9,Punktar!$A:$B,2,0),""))</f>
        <v>-</v>
      </c>
      <c r="H9" s="212">
        <v>0.78819444444444453</v>
      </c>
      <c r="I9" s="22" t="s">
        <v>148</v>
      </c>
      <c r="J9" s="213" t="str">
        <f>IF(I9="","",IFERROR(VLOOKUP(I9,Punktar!$A:$B,2,0),""))</f>
        <v>-</v>
      </c>
      <c r="K9" s="212">
        <v>0.78819444444444453</v>
      </c>
      <c r="L9" s="22" t="s">
        <v>148</v>
      </c>
      <c r="M9" s="213" t="str">
        <f>IF(L9="","",IFERROR(VLOOKUP(L9,Punktar!$A:$B,2,0),""))</f>
        <v>-</v>
      </c>
      <c r="N9" s="212">
        <v>0.79166666666666663</v>
      </c>
      <c r="O9" s="22" t="s">
        <v>216</v>
      </c>
      <c r="P9" s="213">
        <f>IF(O9="","",IFERROR(VLOOKUP(O9,Punktar!$A:$B,2,0),""))</f>
        <v>3</v>
      </c>
      <c r="Q9" s="212">
        <v>0.80208333333333337</v>
      </c>
      <c r="R9" s="22" t="s">
        <v>253</v>
      </c>
      <c r="S9" s="213">
        <f>IF(R9="","",IFERROR(VLOOKUP(R9,Punktar!$A:$B,2,0),""))</f>
        <v>6</v>
      </c>
      <c r="T9" s="212">
        <v>0.79166666666666663</v>
      </c>
      <c r="U9" s="22" t="s">
        <v>179</v>
      </c>
      <c r="V9" s="213" t="str">
        <f>IF(U9="","",IFERROR(VLOOKUP(U9,Punktar!$A:$B,2,0),""))</f>
        <v/>
      </c>
      <c r="W9" s="61"/>
    </row>
    <row r="10" spans="1:23" x14ac:dyDescent="0.2">
      <c r="A10" s="228"/>
      <c r="B10" s="212">
        <v>0.79861111111111116</v>
      </c>
      <c r="C10" s="22" t="s">
        <v>178</v>
      </c>
      <c r="D10" s="213" t="str">
        <f>IF(C10="","",IFERROR(VLOOKUP(C10,Punktar!$A:$B,2,0),""))</f>
        <v/>
      </c>
      <c r="E10" s="212">
        <v>0.79861111111111116</v>
      </c>
      <c r="F10" s="22" t="s">
        <v>186</v>
      </c>
      <c r="G10" s="213">
        <f>IF(F10="","",IFERROR(VLOOKUP(F10,Punktar!$A:$B,2,0),""))</f>
        <v>2</v>
      </c>
      <c r="H10" s="212">
        <v>0.79861111111111116</v>
      </c>
      <c r="I10" s="22" t="s">
        <v>213</v>
      </c>
      <c r="J10" s="213">
        <f>IF(I10="","",IFERROR(VLOOKUP(I10,Punktar!$A:$B,2,0),""))</f>
        <v>2</v>
      </c>
      <c r="K10" s="212">
        <v>0.79861111111111116</v>
      </c>
      <c r="L10" s="22" t="s">
        <v>203</v>
      </c>
      <c r="M10" s="213">
        <f>IF(L10="","",IFERROR(VLOOKUP(L10,Punktar!$A:$B,2,0),""))</f>
        <v>2</v>
      </c>
      <c r="N10" s="212">
        <v>0.8125</v>
      </c>
      <c r="O10" s="22" t="s">
        <v>181</v>
      </c>
      <c r="P10" s="213" t="str">
        <f>IF(O10="","",IFERROR(VLOOKUP(O10,Punktar!$A:$B,2,0),""))</f>
        <v/>
      </c>
      <c r="Q10" s="212">
        <v>0.81944444444444453</v>
      </c>
      <c r="R10" s="22" t="s">
        <v>198</v>
      </c>
      <c r="S10" s="213" t="str">
        <f>IF(R10="","",IFERROR(VLOOKUP(R10,Punktar!$A:$B,2,0),""))</f>
        <v/>
      </c>
      <c r="T10" s="212">
        <v>0.8125</v>
      </c>
      <c r="U10" s="22" t="s">
        <v>201</v>
      </c>
      <c r="V10" s="213" t="str">
        <f>IF(U10="","",IFERROR(VLOOKUP(U10,Punktar!$A:$B,2,0),""))</f>
        <v/>
      </c>
      <c r="W10" s="61"/>
    </row>
    <row r="11" spans="1:23" x14ac:dyDescent="0.2">
      <c r="A11" s="228"/>
      <c r="B11" s="212">
        <v>0.81597222222222221</v>
      </c>
      <c r="C11" s="22" t="s">
        <v>183</v>
      </c>
      <c r="D11" s="213" t="str">
        <f>IF(C11="","",IFERROR(VLOOKUP(C11,Punktar!$A:$B,2,0),""))</f>
        <v/>
      </c>
      <c r="E11" s="212">
        <v>0.82638888888888884</v>
      </c>
      <c r="F11" s="22" t="s">
        <v>174</v>
      </c>
      <c r="G11" s="213" t="str">
        <f>IF(F11="","",IFERROR(VLOOKUP(F11,Punktar!$A:$B,2,0),""))</f>
        <v/>
      </c>
      <c r="H11" s="212">
        <v>0.80902777777777779</v>
      </c>
      <c r="I11" s="22" t="s">
        <v>195</v>
      </c>
      <c r="J11" s="213">
        <f>IF(I11="","",IFERROR(VLOOKUP(I11,Punktar!$A:$B,2,0),""))</f>
        <v>2</v>
      </c>
      <c r="K11" s="212">
        <v>0.82986111111111116</v>
      </c>
      <c r="L11" s="22" t="s">
        <v>190</v>
      </c>
      <c r="M11" s="213">
        <f>IF(L11="","",IFERROR(VLOOKUP(L11,Punktar!$A:$B,2,0),""))</f>
        <v>2</v>
      </c>
      <c r="N11" s="212">
        <v>0.85763888888888884</v>
      </c>
      <c r="O11" s="22" t="s">
        <v>196</v>
      </c>
      <c r="P11" s="213" t="str">
        <f>IF(O11="","",IFERROR(VLOOKUP(O11,Punktar!$A:$B,2,0),""))</f>
        <v/>
      </c>
      <c r="Q11" s="212">
        <v>0.89583333333333337</v>
      </c>
      <c r="R11" s="22" t="s">
        <v>199</v>
      </c>
      <c r="S11" s="213" t="str">
        <f>IF(R11="","",IFERROR(VLOOKUP(R11,Punktar!$A:$B,2,0),""))</f>
        <v/>
      </c>
      <c r="T11" s="212">
        <v>0.87847222222222221</v>
      </c>
      <c r="U11" s="22" t="s">
        <v>177</v>
      </c>
      <c r="V11" s="213" t="str">
        <f>IF(U11="","",IFERROR(VLOOKUP(U11,Punktar!$A:$B,2,0),""))</f>
        <v/>
      </c>
      <c r="W11" s="61"/>
    </row>
    <row r="12" spans="1:23" x14ac:dyDescent="0.2">
      <c r="A12" s="228"/>
      <c r="B12" s="212">
        <v>0.85763888888888884</v>
      </c>
      <c r="C12" s="22" t="s">
        <v>214</v>
      </c>
      <c r="D12" s="213">
        <f>IF(C12="","",IFERROR(VLOOKUP(C12,Punktar!$A:$B,2,0),""))</f>
        <v>2</v>
      </c>
      <c r="E12" s="212">
        <v>0.86805555555555547</v>
      </c>
      <c r="F12" s="22" t="s">
        <v>187</v>
      </c>
      <c r="G12" s="213">
        <f>IF(F12="","",IFERROR(VLOOKUP(F12,Punktar!$A:$B,2,0),""))</f>
        <v>1</v>
      </c>
      <c r="H12" s="212">
        <v>0.85763888888888884</v>
      </c>
      <c r="I12" s="22" t="s">
        <v>189</v>
      </c>
      <c r="J12" s="213">
        <f>IF(I12="","",IFERROR(VLOOKUP(I12,Punktar!$A:$B,2,0),""))</f>
        <v>2</v>
      </c>
      <c r="K12" s="212">
        <v>0.85763888888888884</v>
      </c>
      <c r="L12" s="22" t="s">
        <v>215</v>
      </c>
      <c r="M12" s="213" t="str">
        <f>IF(L12="","",IFERROR(VLOOKUP(L12,Punktar!$A:$B,2,0),""))</f>
        <v/>
      </c>
      <c r="N12" s="212">
        <v>0.94097222222222221</v>
      </c>
      <c r="O12" s="22" t="s">
        <v>197</v>
      </c>
      <c r="P12" s="213" t="str">
        <f>IF(O12="","",IFERROR(VLOOKUP(O12,Punktar!$A:$B,2,0),""))</f>
        <v/>
      </c>
      <c r="Q12" s="212">
        <v>0.96180555555555547</v>
      </c>
      <c r="R12" s="22" t="s">
        <v>200</v>
      </c>
      <c r="S12" s="213" t="str">
        <f>IF(R12="","",IFERROR(VLOOKUP(R12,Punktar!$A:$B,2,0),""))</f>
        <v/>
      </c>
      <c r="T12" s="212">
        <v>0.90972222222222221</v>
      </c>
      <c r="U12" s="22" t="s">
        <v>185</v>
      </c>
      <c r="V12" s="213" t="str">
        <f>IF(U12="","",IFERROR(VLOOKUP(U12,Punktar!$A:$B,2,0),""))</f>
        <v/>
      </c>
      <c r="W12" s="61"/>
    </row>
    <row r="13" spans="1:23" x14ac:dyDescent="0.2">
      <c r="A13" s="228"/>
      <c r="B13" s="212">
        <v>0.89583333333333337</v>
      </c>
      <c r="C13" s="22" t="s">
        <v>180</v>
      </c>
      <c r="D13" s="213" t="str">
        <f>IF(C13="","",IFERROR(VLOOKUP(C13,Punktar!$A:$B,2,0),""))</f>
        <v/>
      </c>
      <c r="E13" s="212">
        <v>0.88194444444444453</v>
      </c>
      <c r="F13" s="22" t="s">
        <v>188</v>
      </c>
      <c r="G13" s="213" t="str">
        <f>IF(F13="","",IFERROR(VLOOKUP(F13,Punktar!$A:$B,2,0),""))</f>
        <v/>
      </c>
      <c r="H13" s="212">
        <v>0.875</v>
      </c>
      <c r="I13" s="22" t="s">
        <v>184</v>
      </c>
      <c r="J13" s="213">
        <f>IF(I13="","",IFERROR(VLOOKUP(I13,Punktar!$A:$B,2,0),""))</f>
        <v>2</v>
      </c>
      <c r="K13" s="212">
        <v>0.90972222222222221</v>
      </c>
      <c r="L13" s="22" t="s">
        <v>210</v>
      </c>
      <c r="M13" s="213">
        <f>IF(L13="","",IFERROR(VLOOKUP(L13,Punktar!$A:$B,2,0),""))</f>
        <v>1</v>
      </c>
      <c r="N13" s="212" t="s">
        <v>182</v>
      </c>
      <c r="O13" s="22" t="s">
        <v>182</v>
      </c>
      <c r="P13" s="213" t="str">
        <f>IF(O13="","",IFERROR(VLOOKUP(O13,Punktar!$A:$B,2,0),""))</f>
        <v/>
      </c>
      <c r="Q13" s="212" t="s">
        <v>182</v>
      </c>
      <c r="R13" s="22" t="s">
        <v>182</v>
      </c>
      <c r="S13" s="213" t="str">
        <f>IF(R13="","",IFERROR(VLOOKUP(R13,Punktar!$A:$B,2,0),""))</f>
        <v/>
      </c>
      <c r="T13" s="212">
        <v>0.94791666666666663</v>
      </c>
      <c r="U13" s="22" t="s">
        <v>270</v>
      </c>
      <c r="V13" s="213" t="str">
        <f>IF(U13="","",IFERROR(VLOOKUP(U13,Punktar!$A:$B,2,0),""))</f>
        <v/>
      </c>
      <c r="W13" s="61"/>
    </row>
    <row r="14" spans="1:23" x14ac:dyDescent="0.2">
      <c r="A14" s="228"/>
      <c r="B14" s="212">
        <v>0.9375</v>
      </c>
      <c r="C14" s="22" t="s">
        <v>210</v>
      </c>
      <c r="D14" s="213">
        <f>IF(C14="","",IFERROR(VLOOKUP(C14,Punktar!$A:$B,2,0),""))</f>
        <v>1</v>
      </c>
      <c r="E14" s="212">
        <v>0.89930555555555547</v>
      </c>
      <c r="F14" s="22" t="s">
        <v>176</v>
      </c>
      <c r="G14" s="213" t="str">
        <f>IF(F14="","",IFERROR(VLOOKUP(F14,Punktar!$A:$B,2,0),""))</f>
        <v/>
      </c>
      <c r="H14" s="212">
        <v>0.89583333333333337</v>
      </c>
      <c r="I14" s="22" t="s">
        <v>222</v>
      </c>
      <c r="J14" s="213">
        <f>IF(I14="","",IFERROR(VLOOKUP(I14,Punktar!$A:$B,2,0),""))</f>
        <v>2</v>
      </c>
      <c r="K14" s="212">
        <v>0.92708333333333337</v>
      </c>
      <c r="L14" s="22" t="s">
        <v>210</v>
      </c>
      <c r="M14" s="213">
        <f>IF(L14="","",IFERROR(VLOOKUP(L14,Punktar!$A:$B,2,0),""))</f>
        <v>1</v>
      </c>
      <c r="N14" s="212" t="s">
        <v>182</v>
      </c>
      <c r="O14" s="22" t="s">
        <v>182</v>
      </c>
      <c r="P14" s="213" t="str">
        <f>IF(O14="","",IFERROR(VLOOKUP(O14,Punktar!$A:$B,2,0),""))</f>
        <v/>
      </c>
      <c r="Q14" s="212" t="s">
        <v>182</v>
      </c>
      <c r="R14" s="22" t="s">
        <v>182</v>
      </c>
      <c r="S14" s="213" t="str">
        <f>IF(R14="","",IFERROR(VLOOKUP(R14,Punktar!$A:$B,2,0),""))</f>
        <v/>
      </c>
      <c r="T14" s="212">
        <v>0.98263888888888884</v>
      </c>
      <c r="U14" s="22" t="s">
        <v>271</v>
      </c>
      <c r="V14" s="213" t="str">
        <f>IF(U14="","",IFERROR(VLOOKUP(U14,Punktar!$A:$B,2,0),""))</f>
        <v/>
      </c>
      <c r="W14" s="61"/>
    </row>
    <row r="15" spans="1:23" x14ac:dyDescent="0.2">
      <c r="A15" s="228"/>
      <c r="B15" s="212">
        <v>0.95138888888888884</v>
      </c>
      <c r="C15" s="22" t="s">
        <v>210</v>
      </c>
      <c r="D15" s="213">
        <f>IF(C15="","",IFERROR(VLOOKUP(C15,Punktar!$A:$B,2,0),""))</f>
        <v>1</v>
      </c>
      <c r="E15" s="212">
        <v>0.9375</v>
      </c>
      <c r="F15" s="22" t="s">
        <v>210</v>
      </c>
      <c r="G15" s="213">
        <f>IF(F15="","",IFERROR(VLOOKUP(F15,Punktar!$A:$B,2,0),""))</f>
        <v>1</v>
      </c>
      <c r="H15" s="212">
        <v>0.92013888888888884</v>
      </c>
      <c r="I15" s="22" t="s">
        <v>210</v>
      </c>
      <c r="J15" s="213">
        <f>IF(I15="","",IFERROR(VLOOKUP(I15,Punktar!$A:$B,2,0),""))</f>
        <v>1</v>
      </c>
      <c r="K15" s="212">
        <v>0.94097222222222221</v>
      </c>
      <c r="L15" s="22" t="s">
        <v>254</v>
      </c>
      <c r="M15" s="213" t="str">
        <f>IF(L15="","",IFERROR(VLOOKUP(L15,Punktar!$A:$B,2,0),""))</f>
        <v/>
      </c>
      <c r="N15" s="212" t="s">
        <v>182</v>
      </c>
      <c r="O15" s="22" t="s">
        <v>182</v>
      </c>
      <c r="P15" s="213" t="str">
        <f>IF(O15="","",IFERROR(VLOOKUP(O15,Punktar!$A:$B,2,0),""))</f>
        <v/>
      </c>
      <c r="Q15" s="212" t="s">
        <v>182</v>
      </c>
      <c r="R15" s="22" t="s">
        <v>182</v>
      </c>
      <c r="S15" s="213" t="str">
        <f>IF(R15="","",IFERROR(VLOOKUP(R15,Punktar!$A:$B,2,0),""))</f>
        <v/>
      </c>
      <c r="T15" s="212">
        <v>0.99652777777777779</v>
      </c>
      <c r="U15" s="22" t="s">
        <v>274</v>
      </c>
      <c r="V15" s="213" t="str">
        <f>IF(U15="","",IFERROR(VLOOKUP(U15,Punktar!$A:$B,2,0),""))</f>
        <v/>
      </c>
      <c r="W15" s="61"/>
    </row>
    <row r="16" spans="1:23" x14ac:dyDescent="0.2">
      <c r="A16" s="228"/>
      <c r="B16" s="212">
        <v>0.96875</v>
      </c>
      <c r="C16" s="22" t="s">
        <v>254</v>
      </c>
      <c r="D16" s="213" t="str">
        <f>IF(C16="","",IFERROR(VLOOKUP(C16,Punktar!$A:$B,2,0),""))</f>
        <v/>
      </c>
      <c r="E16" s="212">
        <v>0.95138888888888884</v>
      </c>
      <c r="F16" s="22" t="s">
        <v>210</v>
      </c>
      <c r="G16" s="213">
        <f>IF(F16="","",IFERROR(VLOOKUP(F16,Punktar!$A:$B,2,0),""))</f>
        <v>1</v>
      </c>
      <c r="H16" s="212">
        <v>0.93402777777777779</v>
      </c>
      <c r="I16" s="22" t="s">
        <v>210</v>
      </c>
      <c r="J16" s="213">
        <f>IF(I16="","",IFERROR(VLOOKUP(I16,Punktar!$A:$B,2,0),""))</f>
        <v>1</v>
      </c>
      <c r="K16" s="212">
        <v>0.97916666666666663</v>
      </c>
      <c r="L16" s="22" t="s">
        <v>269</v>
      </c>
      <c r="M16" s="213" t="str">
        <f>IF(L16="","",IFERROR(VLOOKUP(L16,Punktar!$A:$B,2,0),""))</f>
        <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61"/>
    </row>
    <row r="17" spans="1:23" x14ac:dyDescent="0.2">
      <c r="A17" s="228"/>
      <c r="B17" s="212" t="s">
        <v>182</v>
      </c>
      <c r="C17" s="22" t="s">
        <v>182</v>
      </c>
      <c r="D17" s="213" t="str">
        <f>IF(C17="","",IFERROR(VLOOKUP(C17,Punktar!$A:$B,2,0),""))</f>
        <v/>
      </c>
      <c r="E17" s="212">
        <v>0.97569444444444453</v>
      </c>
      <c r="F17" s="22" t="s">
        <v>261</v>
      </c>
      <c r="G17" s="213" t="str">
        <f>IF(F17="","",IFERROR(VLOOKUP(F17,Punktar!$A:$B,2,0),""))</f>
        <v/>
      </c>
      <c r="H17" s="212">
        <v>0.95138888888888884</v>
      </c>
      <c r="I17" s="22" t="s">
        <v>265</v>
      </c>
      <c r="J17" s="213" t="str">
        <f>IF(I17="","",IFERROR(VLOOKUP(I17,Punktar!$A:$B,2,0),""))</f>
        <v/>
      </c>
      <c r="K17" s="212" t="s">
        <v>182</v>
      </c>
      <c r="L17" s="22" t="s">
        <v>182</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t="s">
        <v>182</v>
      </c>
      <c r="C18" s="22" t="s">
        <v>182</v>
      </c>
      <c r="D18" s="213" t="str">
        <f>IF(C18="","",IFERROR(VLOOKUP(C18,Punktar!$A:$B,2,0),""))</f>
        <v/>
      </c>
      <c r="E18" s="212" t="s">
        <v>182</v>
      </c>
      <c r="F18" s="22" t="s">
        <v>182</v>
      </c>
      <c r="G18" s="213" t="str">
        <f>IF(F18="","",IFERROR(VLOOKUP(F18,Punktar!$A:$B,2,0),""))</f>
        <v/>
      </c>
      <c r="H18" s="212">
        <v>0.97916666666666663</v>
      </c>
      <c r="I18" s="22" t="s">
        <v>266</v>
      </c>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t="s">
        <v>182</v>
      </c>
      <c r="C19" s="22" t="s">
        <v>182</v>
      </c>
      <c r="D19" s="213" t="str">
        <f>IF(C19="","",IFERROR(VLOOKUP(C19,Punktar!$A:$B,2,0),""))</f>
        <v/>
      </c>
      <c r="E19" s="212" t="s">
        <v>182</v>
      </c>
      <c r="F19" s="22" t="s">
        <v>182</v>
      </c>
      <c r="G19" s="213" t="str">
        <f>IF(F19="","",IFERROR(VLOOKUP(F19,Punktar!$A:$B,2,0),""))</f>
        <v/>
      </c>
      <c r="H19" s="212" t="s">
        <v>182</v>
      </c>
      <c r="I19" s="22" t="s">
        <v>182</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t="s">
        <v>182</v>
      </c>
      <c r="F20" s="215" t="s">
        <v>182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9" priority="1" operator="containsText" text=" YYY">
      <formula>NOT(ISERROR(SEARCH(" YYY",B5)))</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V70"/>
  <sheetViews>
    <sheetView showGridLines="0" showRowColHeaders="0" workbookViewId="0">
      <pane xSplit="1" ySplit="4" topLeftCell="B5" activePane="bottomRight" state="frozen"/>
      <selection activeCell="O17" sqref="O17"/>
      <selection pane="topRight" activeCell="O17" sqref="O17"/>
      <selection pane="bottomLeft" activeCell="O17" sqref="O17"/>
      <selection pane="bottomRight" activeCell="O17" sqref="O17"/>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s>
  <sheetData>
    <row r="1" spans="1:22"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September 2023 | Vika 38</v>
      </c>
      <c r="H1" s="230"/>
      <c r="I1" s="230"/>
      <c r="J1" s="230"/>
      <c r="K1" s="230"/>
      <c r="L1" s="230"/>
      <c r="M1" s="230"/>
      <c r="N1" s="230"/>
      <c r="O1" s="230"/>
      <c r="P1" s="230"/>
      <c r="Q1" s="230"/>
      <c r="R1" s="230"/>
      <c r="S1" s="230"/>
      <c r="T1" s="21"/>
      <c r="U1" s="77"/>
      <c r="V1" s="14"/>
    </row>
    <row r="2" spans="1:22" ht="11.25" customHeight="1" x14ac:dyDescent="0.2">
      <c r="A2" s="15"/>
      <c r="B2" s="15"/>
      <c r="C2" s="15"/>
      <c r="D2" s="12"/>
      <c r="E2" s="16"/>
      <c r="F2" s="16"/>
      <c r="G2" s="230"/>
      <c r="H2" s="230"/>
      <c r="I2" s="230"/>
      <c r="J2" s="230"/>
      <c r="K2" s="230"/>
      <c r="L2" s="230"/>
      <c r="M2" s="230"/>
      <c r="N2" s="230"/>
      <c r="O2" s="230"/>
      <c r="P2" s="230"/>
      <c r="Q2" s="230"/>
      <c r="R2" s="230"/>
      <c r="S2" s="230"/>
      <c r="T2" s="21"/>
      <c r="U2" s="17"/>
      <c r="V2" s="14"/>
    </row>
    <row r="3" spans="1:22" ht="11.25" customHeight="1" x14ac:dyDescent="0.2">
      <c r="A3" s="15"/>
      <c r="B3" s="15"/>
      <c r="C3" s="15"/>
      <c r="D3" s="18"/>
      <c r="E3" s="12"/>
      <c r="F3" s="13"/>
      <c r="G3" s="231"/>
      <c r="H3" s="231"/>
      <c r="I3" s="231"/>
      <c r="J3" s="231"/>
      <c r="K3" s="231"/>
      <c r="L3" s="231"/>
      <c r="M3" s="231"/>
      <c r="N3" s="231"/>
      <c r="O3" s="231"/>
      <c r="P3" s="231"/>
      <c r="Q3" s="231"/>
      <c r="R3" s="231"/>
      <c r="S3" s="231"/>
      <c r="T3" s="12"/>
      <c r="U3" s="13"/>
      <c r="V3" s="13"/>
    </row>
    <row r="4" spans="1:22" x14ac:dyDescent="0.2">
      <c r="A4" s="217"/>
      <c r="B4" s="232">
        <f>'Vika 37'!T4+1</f>
        <v>45187</v>
      </c>
      <c r="C4" s="226"/>
      <c r="D4" s="218" t="s">
        <v>44</v>
      </c>
      <c r="E4" s="232">
        <f>B4+1</f>
        <v>45188</v>
      </c>
      <c r="F4" s="226"/>
      <c r="G4" s="219" t="s">
        <v>44</v>
      </c>
      <c r="H4" s="226">
        <f>E4+1</f>
        <v>45189</v>
      </c>
      <c r="I4" s="226"/>
      <c r="J4" s="218" t="s">
        <v>44</v>
      </c>
      <c r="K4" s="232">
        <f>H4+1</f>
        <v>45190</v>
      </c>
      <c r="L4" s="226"/>
      <c r="M4" s="219" t="s">
        <v>44</v>
      </c>
      <c r="N4" s="226">
        <f>K4+1</f>
        <v>45191</v>
      </c>
      <c r="O4" s="226"/>
      <c r="P4" s="218" t="s">
        <v>44</v>
      </c>
      <c r="Q4" s="232">
        <f>N4+1</f>
        <v>45192</v>
      </c>
      <c r="R4" s="226"/>
      <c r="S4" s="219" t="s">
        <v>44</v>
      </c>
      <c r="T4" s="226">
        <f>Q4+1</f>
        <v>45193</v>
      </c>
      <c r="U4" s="226"/>
      <c r="V4" s="219" t="s">
        <v>44</v>
      </c>
    </row>
    <row r="5" spans="1:22" ht="11.25" customHeight="1" x14ac:dyDescent="0.2">
      <c r="A5" s="227" t="s">
        <v>12</v>
      </c>
      <c r="B5" s="209">
        <v>0.75</v>
      </c>
      <c r="C5" s="210" t="s">
        <v>35</v>
      </c>
      <c r="D5" s="211">
        <f>IF(C5="","",IFERROR(VLOOKUP(C5,Punktar!$A:$B,2,0),""))</f>
        <v>1</v>
      </c>
      <c r="E5" s="209">
        <v>0.75</v>
      </c>
      <c r="F5" s="210" t="s">
        <v>35</v>
      </c>
      <c r="G5" s="211">
        <f>IF(F5="","",IFERROR(VLOOKUP(F5,Punktar!$A:$B,2,0),""))</f>
        <v>1</v>
      </c>
      <c r="H5" s="209">
        <v>0.71875</v>
      </c>
      <c r="I5" s="210" t="s">
        <v>35</v>
      </c>
      <c r="J5" s="211">
        <f>IF(I5="","",IFERROR(VLOOKUP(I5,Punktar!$A:$B,2,0),""))</f>
        <v>1</v>
      </c>
      <c r="K5" s="209">
        <v>0.75</v>
      </c>
      <c r="L5" s="210" t="s">
        <v>35</v>
      </c>
      <c r="M5" s="211">
        <f>IF(L5="","",IFERROR(VLOOKUP(L5,Punktar!$A:$B,2,0),""))</f>
        <v>1</v>
      </c>
      <c r="N5" s="209">
        <v>0.72916666666666663</v>
      </c>
      <c r="O5" s="210" t="s">
        <v>35</v>
      </c>
      <c r="P5" s="211">
        <f>IF(O5="","",IFERROR(VLOOKUP(O5,Punktar!$A:$B,2,0),""))</f>
        <v>1</v>
      </c>
      <c r="Q5" s="209">
        <v>0.76736111111111116</v>
      </c>
      <c r="R5" s="210" t="s">
        <v>152</v>
      </c>
      <c r="S5" s="211">
        <f>IF(R5="","",IFERROR(VLOOKUP(R5,Punktar!$A:$B,2,0),""))</f>
        <v>3</v>
      </c>
      <c r="T5" s="209">
        <v>0.73611111111111116</v>
      </c>
      <c r="U5" s="210" t="s">
        <v>98</v>
      </c>
      <c r="V5" s="211">
        <f>IF(U5="","",IFERROR(VLOOKUP(U5,Punktar!$A:$B,2,0),""))</f>
        <v>1</v>
      </c>
    </row>
    <row r="6" spans="1:22" x14ac:dyDescent="0.2">
      <c r="A6" s="228"/>
      <c r="B6" s="212">
        <v>0.76736111111111116</v>
      </c>
      <c r="C6" s="22" t="s">
        <v>152</v>
      </c>
      <c r="D6" s="213">
        <f>IF(C6="","",IFERROR(VLOOKUP(C6,Punktar!$A:$B,2,0),""))</f>
        <v>3</v>
      </c>
      <c r="E6" s="212">
        <v>0.76736111111111116</v>
      </c>
      <c r="F6" s="22" t="s">
        <v>152</v>
      </c>
      <c r="G6" s="213">
        <f>IF(F6="","",IFERROR(VLOOKUP(F6,Punktar!$A:$B,2,0),""))</f>
        <v>3</v>
      </c>
      <c r="H6" s="212">
        <v>0.76736111111111116</v>
      </c>
      <c r="I6" s="22" t="s">
        <v>152</v>
      </c>
      <c r="J6" s="213">
        <f>IF(I6="","",IFERROR(VLOOKUP(I6,Punktar!$A:$B,2,0),""))</f>
        <v>3</v>
      </c>
      <c r="K6" s="212">
        <v>0.76736111111111116</v>
      </c>
      <c r="L6" s="22" t="s">
        <v>152</v>
      </c>
      <c r="M6" s="213">
        <f>IF(L6="","",IFERROR(VLOOKUP(L6,Punktar!$A:$B,2,0),""))</f>
        <v>3</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row>
    <row r="7" spans="1:22" x14ac:dyDescent="0.2">
      <c r="A7" s="228"/>
      <c r="B7" s="212">
        <v>0.77083333333333337</v>
      </c>
      <c r="C7" s="22" t="s">
        <v>37</v>
      </c>
      <c r="D7" s="213">
        <f>IF(C7="","",IFERROR(VLOOKUP(C7,Punktar!$A:$B,2,0),""))</f>
        <v>8</v>
      </c>
      <c r="E7" s="212">
        <v>0.77083333333333337</v>
      </c>
      <c r="F7" s="22" t="s">
        <v>37</v>
      </c>
      <c r="G7" s="213">
        <f>IF(F7="","",IFERROR(VLOOKUP(F7,Punktar!$A:$B,2,0),""))</f>
        <v>8</v>
      </c>
      <c r="H7" s="212">
        <v>0.77083333333333337</v>
      </c>
      <c r="I7" s="22" t="s">
        <v>37</v>
      </c>
      <c r="J7" s="213">
        <f>IF(I7="","",IFERROR(VLOOKUP(I7,Punktar!$A:$B,2,0),""))</f>
        <v>8</v>
      </c>
      <c r="K7" s="212">
        <v>0.77083333333333337</v>
      </c>
      <c r="L7" s="22" t="s">
        <v>37</v>
      </c>
      <c r="M7" s="213">
        <f>IF(L7="","",IFERROR(VLOOKUP(L7,Punktar!$A:$B,2,0),""))</f>
        <v>8</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row>
    <row r="8" spans="1:22" x14ac:dyDescent="0.2">
      <c r="A8" s="228"/>
      <c r="B8" s="212">
        <v>0.78472222222222221</v>
      </c>
      <c r="C8" s="22" t="s">
        <v>36</v>
      </c>
      <c r="D8" s="213">
        <f>IF(C8="","",IFERROR(VLOOKUP(C8,Punktar!$A:$B,2,0),""))</f>
        <v>6</v>
      </c>
      <c r="E8" s="212">
        <v>0.78472222222222221</v>
      </c>
      <c r="F8" s="22" t="s">
        <v>36</v>
      </c>
      <c r="G8" s="213">
        <f>IF(F8="","",IFERROR(VLOOKUP(F8,Punktar!$A:$B,2,0),""))</f>
        <v>6</v>
      </c>
      <c r="H8" s="212">
        <v>0.78472222222222221</v>
      </c>
      <c r="I8" s="22" t="s">
        <v>36</v>
      </c>
      <c r="J8" s="213">
        <f>IF(I8="","",IFERROR(VLOOKUP(I8,Punktar!$A:$B,2,0),""))</f>
        <v>6</v>
      </c>
      <c r="K8" s="212">
        <v>0.78472222222222221</v>
      </c>
      <c r="L8" s="22" t="s">
        <v>36</v>
      </c>
      <c r="M8" s="213">
        <f>IF(L8="","",IFERROR(VLOOKUP(L8,Punktar!$A:$B,2,0),""))</f>
        <v>6</v>
      </c>
      <c r="N8" s="212">
        <v>0.78472222222222221</v>
      </c>
      <c r="O8" s="22" t="s">
        <v>36</v>
      </c>
      <c r="P8" s="213">
        <f>IF(O8="","",IFERROR(VLOOKUP(O8,Punktar!$A:$B,2,0),""))</f>
        <v>6</v>
      </c>
      <c r="Q8" s="212">
        <v>0.79166666666666674</v>
      </c>
      <c r="R8" s="22" t="s">
        <v>212</v>
      </c>
      <c r="S8" s="213">
        <f>IF(R8="","",IFERROR(VLOOKUP(R8,Punktar!$A:$B,2,0),""))</f>
        <v>5</v>
      </c>
      <c r="T8" s="212">
        <v>0.78472222222222221</v>
      </c>
      <c r="U8" s="22" t="s">
        <v>36</v>
      </c>
      <c r="V8" s="213">
        <f>IF(U8="","",IFERROR(VLOOKUP(U8,Punktar!$A:$B,2,0),""))</f>
        <v>6</v>
      </c>
    </row>
    <row r="9" spans="1:22" x14ac:dyDescent="0.2">
      <c r="A9" s="228"/>
      <c r="B9" s="212">
        <v>0.78819444444444453</v>
      </c>
      <c r="C9" s="22" t="s">
        <v>148</v>
      </c>
      <c r="D9" s="213" t="str">
        <f>IF(C9="","",IFERROR(VLOOKUP(C9,Punktar!$A:$B,2,0),""))</f>
        <v>-</v>
      </c>
      <c r="E9" s="212">
        <v>0.78819444444444453</v>
      </c>
      <c r="F9" s="22" t="s">
        <v>148</v>
      </c>
      <c r="G9" s="213" t="str">
        <f>IF(F9="","",IFERROR(VLOOKUP(F9,Punktar!$A:$B,2,0),""))</f>
        <v>-</v>
      </c>
      <c r="H9" s="212">
        <v>0.78819444444444453</v>
      </c>
      <c r="I9" s="22" t="s">
        <v>148</v>
      </c>
      <c r="J9" s="213" t="str">
        <f>IF(I9="","",IFERROR(VLOOKUP(I9,Punktar!$A:$B,2,0),""))</f>
        <v>-</v>
      </c>
      <c r="K9" s="212">
        <v>0.78819444444444453</v>
      </c>
      <c r="L9" s="22" t="s">
        <v>148</v>
      </c>
      <c r="M9" s="213" t="str">
        <f>IF(L9="","",IFERROR(VLOOKUP(L9,Punktar!$A:$B,2,0),""))</f>
        <v>-</v>
      </c>
      <c r="N9" s="212">
        <v>0.79166666666666663</v>
      </c>
      <c r="O9" s="22" t="s">
        <v>216</v>
      </c>
      <c r="P9" s="213">
        <f>IF(O9="","",IFERROR(VLOOKUP(O9,Punktar!$A:$B,2,0),""))</f>
        <v>3</v>
      </c>
      <c r="Q9" s="212">
        <v>0.80208333333333337</v>
      </c>
      <c r="R9" s="22" t="s">
        <v>253</v>
      </c>
      <c r="S9" s="213">
        <f>IF(R9="","",IFERROR(VLOOKUP(R9,Punktar!$A:$B,2,0),""))</f>
        <v>6</v>
      </c>
      <c r="T9" s="212">
        <v>0.79166666666666663</v>
      </c>
      <c r="U9" s="22" t="s">
        <v>179</v>
      </c>
      <c r="V9" s="213" t="str">
        <f>IF(U9="","",IFERROR(VLOOKUP(U9,Punktar!$A:$B,2,0),""))</f>
        <v/>
      </c>
    </row>
    <row r="10" spans="1:22" x14ac:dyDescent="0.2">
      <c r="A10" s="228"/>
      <c r="B10" s="212">
        <v>0.79861111111111116</v>
      </c>
      <c r="C10" s="22" t="s">
        <v>178</v>
      </c>
      <c r="D10" s="213" t="str">
        <f>IF(C10="","",IFERROR(VLOOKUP(C10,Punktar!$A:$B,2,0),""))</f>
        <v/>
      </c>
      <c r="E10" s="212">
        <v>0.79861111111111105</v>
      </c>
      <c r="F10" s="22" t="s">
        <v>186</v>
      </c>
      <c r="G10" s="213">
        <f>IF(F10="","",IFERROR(VLOOKUP(F10,Punktar!$A:$B,2,0),""))</f>
        <v>2</v>
      </c>
      <c r="H10" s="212">
        <v>0.79861111111111105</v>
      </c>
      <c r="I10" s="22" t="s">
        <v>213</v>
      </c>
      <c r="J10" s="213">
        <f>IF(I10="","",IFERROR(VLOOKUP(I10,Punktar!$A:$B,2,0),""))</f>
        <v>2</v>
      </c>
      <c r="K10" s="212">
        <v>0.79861111111111116</v>
      </c>
      <c r="L10" s="22" t="s">
        <v>203</v>
      </c>
      <c r="M10" s="213">
        <f>IF(L10="","",IFERROR(VLOOKUP(L10,Punktar!$A:$B,2,0),""))</f>
        <v>2</v>
      </c>
      <c r="N10" s="212">
        <v>0.8125</v>
      </c>
      <c r="O10" s="22" t="s">
        <v>218</v>
      </c>
      <c r="P10" s="213">
        <f>IF(O10="","",IFERROR(VLOOKUP(O10,Punktar!$A:$B,2,0),""))</f>
        <v>2</v>
      </c>
      <c r="Q10" s="212">
        <v>0.81944444444444453</v>
      </c>
      <c r="R10" s="22" t="s">
        <v>224</v>
      </c>
      <c r="S10" s="213" t="str">
        <f>IF(R10="","",IFERROR(VLOOKUP(R10,Punktar!$A:$B,2,0),""))</f>
        <v/>
      </c>
      <c r="T10" s="212">
        <v>0.80902777777777779</v>
      </c>
      <c r="U10" s="22" t="s">
        <v>201</v>
      </c>
      <c r="V10" s="213" t="str">
        <f>IF(U10="","",IFERROR(VLOOKUP(U10,Punktar!$A:$B,2,0),""))</f>
        <v/>
      </c>
    </row>
    <row r="11" spans="1:22" x14ac:dyDescent="0.2">
      <c r="A11" s="228"/>
      <c r="B11" s="212">
        <v>0.81597222222222221</v>
      </c>
      <c r="C11" s="22" t="s">
        <v>214</v>
      </c>
      <c r="D11" s="213">
        <f>IF(C11="","",IFERROR(VLOOKUP(C11,Punktar!$A:$B,2,0),""))</f>
        <v>2</v>
      </c>
      <c r="E11" s="212">
        <v>0.82638888888888884</v>
      </c>
      <c r="F11" s="22" t="s">
        <v>202</v>
      </c>
      <c r="G11" s="213">
        <f>IF(F11="","",IFERROR(VLOOKUP(F11,Punktar!$A:$B,2,0),""))</f>
        <v>3</v>
      </c>
      <c r="H11" s="212">
        <v>0.80902777777777779</v>
      </c>
      <c r="I11" s="22" t="s">
        <v>195</v>
      </c>
      <c r="J11" s="213">
        <f>IF(I11="","",IFERROR(VLOOKUP(I11,Punktar!$A:$B,2,0),""))</f>
        <v>2</v>
      </c>
      <c r="K11" s="212">
        <v>0.82986111111111116</v>
      </c>
      <c r="L11" s="22" t="s">
        <v>190</v>
      </c>
      <c r="M11" s="213">
        <f>IF(L11="","",IFERROR(VLOOKUP(L11,Punktar!$A:$B,2,0),""))</f>
        <v>2</v>
      </c>
      <c r="N11" s="212">
        <v>0.84375</v>
      </c>
      <c r="O11" s="22" t="s">
        <v>204</v>
      </c>
      <c r="P11" s="213" t="str">
        <f>IF(O11="","",IFERROR(VLOOKUP(O11,Punktar!$A:$B,2,0),""))</f>
        <v/>
      </c>
      <c r="Q11" s="212">
        <v>0.88541666666666663</v>
      </c>
      <c r="R11" s="22" t="s">
        <v>206</v>
      </c>
      <c r="S11" s="213" t="str">
        <f>IF(R11="","",IFERROR(VLOOKUP(R11,Punktar!$A:$B,2,0),""))</f>
        <v/>
      </c>
      <c r="T11" s="212">
        <v>0.87152777777777779</v>
      </c>
      <c r="U11" s="22" t="s">
        <v>219</v>
      </c>
      <c r="V11" s="213">
        <f>IF(U11="","",IFERROR(VLOOKUP(U11,Punktar!$A:$B,2,0),""))</f>
        <v>1</v>
      </c>
    </row>
    <row r="12" spans="1:22" x14ac:dyDescent="0.2">
      <c r="A12" s="228"/>
      <c r="B12" s="212">
        <v>0.85069444444444453</v>
      </c>
      <c r="C12" s="22" t="s">
        <v>217</v>
      </c>
      <c r="D12" s="213" t="str">
        <f>IF(C12="","",IFERROR(VLOOKUP(C12,Punktar!$A:$B,2,0),""))</f>
        <v/>
      </c>
      <c r="E12" s="212">
        <v>0.86111111111111116</v>
      </c>
      <c r="F12" s="22" t="s">
        <v>169</v>
      </c>
      <c r="G12" s="213" t="str">
        <f>IF(F12="","",IFERROR(VLOOKUP(F12,Punktar!$A:$B,2,0),""))</f>
        <v/>
      </c>
      <c r="H12" s="212">
        <v>0.84375</v>
      </c>
      <c r="I12" s="22" t="s">
        <v>189</v>
      </c>
      <c r="J12" s="213">
        <f>IF(I12="","",IFERROR(VLOOKUP(I12,Punktar!$A:$B,2,0),""))</f>
        <v>2</v>
      </c>
      <c r="K12" s="212">
        <v>0.85763888888888884</v>
      </c>
      <c r="L12" s="22" t="s">
        <v>215</v>
      </c>
      <c r="M12" s="213" t="str">
        <f>IF(L12="","",IFERROR(VLOOKUP(L12,Punktar!$A:$B,2,0),""))</f>
        <v/>
      </c>
      <c r="N12" s="212">
        <v>0.90972222222222221</v>
      </c>
      <c r="O12" s="22" t="s">
        <v>205</v>
      </c>
      <c r="P12" s="213" t="str">
        <f>IF(O12="","",IFERROR(VLOOKUP(O12,Punktar!$A:$B,2,0),""))</f>
        <v/>
      </c>
      <c r="Q12" s="212">
        <v>0.95833333333333337</v>
      </c>
      <c r="R12" s="22" t="s">
        <v>276</v>
      </c>
      <c r="S12" s="213" t="str">
        <f>IF(R12="","",IFERROR(VLOOKUP(R12,Punktar!$A:$B,2,0),""))</f>
        <v/>
      </c>
      <c r="T12" s="212">
        <v>0.89583333333333337</v>
      </c>
      <c r="U12" s="22" t="s">
        <v>185</v>
      </c>
      <c r="V12" s="213" t="str">
        <f>IF(U12="","",IFERROR(VLOOKUP(U12,Punktar!$A:$B,2,0),""))</f>
        <v/>
      </c>
    </row>
    <row r="13" spans="1:22" x14ac:dyDescent="0.2">
      <c r="A13" s="228"/>
      <c r="B13" s="212">
        <v>0.88194444444444453</v>
      </c>
      <c r="C13" s="22" t="s">
        <v>180</v>
      </c>
      <c r="D13" s="213" t="str">
        <f>IF(C13="","",IFERROR(VLOOKUP(C13,Punktar!$A:$B,2,0),""))</f>
        <v/>
      </c>
      <c r="E13" s="212">
        <v>0.87847222222222221</v>
      </c>
      <c r="F13" s="22" t="s">
        <v>187</v>
      </c>
      <c r="G13" s="213">
        <f>IF(F13="","",IFERROR(VLOOKUP(F13,Punktar!$A:$B,2,0),""))</f>
        <v>1</v>
      </c>
      <c r="H13" s="212">
        <v>0.85763888888888884</v>
      </c>
      <c r="I13" s="22" t="s">
        <v>184</v>
      </c>
      <c r="J13" s="213">
        <f>IF(I13="","",IFERROR(VLOOKUP(I13,Punktar!$A:$B,2,0),""))</f>
        <v>2</v>
      </c>
      <c r="K13" s="212">
        <v>0.91319444444444453</v>
      </c>
      <c r="L13" s="22" t="s">
        <v>210</v>
      </c>
      <c r="M13" s="213">
        <f>IF(L13="","",IFERROR(VLOOKUP(L13,Punktar!$A:$B,2,0),""))</f>
        <v>1</v>
      </c>
      <c r="N13" s="212">
        <v>0.98611111111111116</v>
      </c>
      <c r="O13" s="22" t="s">
        <v>210</v>
      </c>
      <c r="P13" s="213">
        <f>IF(O13="","",IFERROR(VLOOKUP(O13,Punktar!$A:$B,2,0),""))</f>
        <v>1</v>
      </c>
      <c r="Q13" s="212" t="s">
        <v>182</v>
      </c>
      <c r="R13" s="22" t="s">
        <v>182</v>
      </c>
      <c r="S13" s="213" t="str">
        <f>IF(R13="","",IFERROR(VLOOKUP(R13,Punktar!$A:$B,2,0),""))</f>
        <v/>
      </c>
      <c r="T13" s="212">
        <v>0.93402777777777779</v>
      </c>
      <c r="U13" s="22" t="s">
        <v>270</v>
      </c>
      <c r="V13" s="213" t="str">
        <f>IF(U13="","",IFERROR(VLOOKUP(U13,Punktar!$A:$B,2,0),""))</f>
        <v/>
      </c>
    </row>
    <row r="14" spans="1:22" x14ac:dyDescent="0.2">
      <c r="A14" s="228"/>
      <c r="B14" s="212">
        <v>0.92361111111111116</v>
      </c>
      <c r="C14" s="22" t="s">
        <v>210</v>
      </c>
      <c r="D14" s="213">
        <f>IF(C14="","",IFERROR(VLOOKUP(C14,Punktar!$A:$B,2,0),""))</f>
        <v>1</v>
      </c>
      <c r="E14" s="212">
        <v>0.89236111111111116</v>
      </c>
      <c r="F14" s="22" t="s">
        <v>223</v>
      </c>
      <c r="G14" s="213" t="str">
        <f>IF(F14="","",IFERROR(VLOOKUP(F14,Punktar!$A:$B,2,0),""))</f>
        <v/>
      </c>
      <c r="H14" s="212">
        <v>0.87847222222222221</v>
      </c>
      <c r="I14" s="22" t="s">
        <v>222</v>
      </c>
      <c r="J14" s="213">
        <f>IF(I14="","",IFERROR(VLOOKUP(I14,Punktar!$A:$B,2,0),""))</f>
        <v>2</v>
      </c>
      <c r="K14" s="212">
        <v>0.92708333333333337</v>
      </c>
      <c r="L14" s="22" t="s">
        <v>210</v>
      </c>
      <c r="M14" s="213">
        <f>IF(L14="","",IFERROR(VLOOKUP(L14,Punktar!$A:$B,2,0),""))</f>
        <v>1</v>
      </c>
      <c r="N14" s="212" t="s">
        <v>182</v>
      </c>
      <c r="O14" s="22" t="s">
        <v>182</v>
      </c>
      <c r="P14" s="213" t="str">
        <f>IF(O14="","",IFERROR(VLOOKUP(O14,Punktar!$A:$B,2,0),""))</f>
        <v/>
      </c>
      <c r="Q14" s="212" t="s">
        <v>182</v>
      </c>
      <c r="R14" s="22" t="s">
        <v>182</v>
      </c>
      <c r="S14" s="213" t="str">
        <f>IF(R14="","",IFERROR(VLOOKUP(R14,Punktar!$A:$B,2,0),""))</f>
        <v/>
      </c>
      <c r="T14" s="212">
        <v>0.96875</v>
      </c>
      <c r="U14" s="22" t="s">
        <v>271</v>
      </c>
      <c r="V14" s="213" t="str">
        <f>IF(U14="","",IFERROR(VLOOKUP(U14,Punktar!$A:$B,2,0),""))</f>
        <v/>
      </c>
    </row>
    <row r="15" spans="1:22" x14ac:dyDescent="0.2">
      <c r="A15" s="228"/>
      <c r="B15" s="212">
        <v>0.9375</v>
      </c>
      <c r="C15" s="22" t="s">
        <v>210</v>
      </c>
      <c r="D15" s="213">
        <f>IF(C15="","",IFERROR(VLOOKUP(C15,Punktar!$A:$B,2,0),""))</f>
        <v>1</v>
      </c>
      <c r="E15" s="212">
        <v>0.90625</v>
      </c>
      <c r="F15" s="22" t="s">
        <v>210</v>
      </c>
      <c r="G15" s="213">
        <f>IF(F15="","",IFERROR(VLOOKUP(F15,Punktar!$A:$B,2,0),""))</f>
        <v>1</v>
      </c>
      <c r="H15" s="212">
        <v>0.89930555555555547</v>
      </c>
      <c r="I15" s="22" t="s">
        <v>215</v>
      </c>
      <c r="J15" s="213" t="str">
        <f>IF(I15="","",IFERROR(VLOOKUP(I15,Punktar!$A:$B,2,0),""))</f>
        <v/>
      </c>
      <c r="K15" s="212">
        <v>0.94097222222222221</v>
      </c>
      <c r="L15" s="22" t="s">
        <v>282</v>
      </c>
      <c r="M15" s="213" t="str">
        <f>IF(L15="","",IFERROR(VLOOKUP(L15,Punktar!$A:$B,2,0),""))</f>
        <v/>
      </c>
      <c r="N15" s="212" t="s">
        <v>182</v>
      </c>
      <c r="O15" s="22" t="s">
        <v>182</v>
      </c>
      <c r="P15" s="213" t="str">
        <f>IF(O15="","",IFERROR(VLOOKUP(O15,Punktar!$A:$B,2,0),""))</f>
        <v/>
      </c>
      <c r="Q15" s="212" t="s">
        <v>182</v>
      </c>
      <c r="R15" s="22" t="s">
        <v>182</v>
      </c>
      <c r="S15" s="213" t="str">
        <f>IF(R15="","",IFERROR(VLOOKUP(R15,Punktar!$A:$B,2,0),""))</f>
        <v/>
      </c>
      <c r="T15" s="212">
        <v>0.98611111111111116</v>
      </c>
      <c r="U15" s="22" t="s">
        <v>274</v>
      </c>
      <c r="V15" s="213" t="str">
        <f>IF(U15="","",IFERROR(VLOOKUP(U15,Punktar!$A:$B,2,0),""))</f>
        <v/>
      </c>
    </row>
    <row r="16" spans="1:22" x14ac:dyDescent="0.2">
      <c r="A16" s="228"/>
      <c r="B16" s="212">
        <v>0.95486111111111116</v>
      </c>
      <c r="C16" s="22" t="s">
        <v>254</v>
      </c>
      <c r="D16" s="213" t="str">
        <f>IF(C16="","",IFERROR(VLOOKUP(C16,Punktar!$A:$B,2,0),""))</f>
        <v/>
      </c>
      <c r="E16" s="212">
        <v>0.92013888888888884</v>
      </c>
      <c r="F16" s="22" t="s">
        <v>210</v>
      </c>
      <c r="G16" s="213">
        <f>IF(F16="","",IFERROR(VLOOKUP(F16,Punktar!$A:$B,2,0),""))</f>
        <v>1</v>
      </c>
      <c r="H16" s="212">
        <v>0.95138888888888884</v>
      </c>
      <c r="I16" s="22" t="s">
        <v>210</v>
      </c>
      <c r="J16" s="213">
        <f>IF(I16="","",IFERROR(VLOOKUP(I16,Punktar!$A:$B,2,0),""))</f>
        <v>1</v>
      </c>
      <c r="K16" s="212">
        <v>0.97569444444444453</v>
      </c>
      <c r="L16" s="22" t="s">
        <v>269</v>
      </c>
      <c r="M16" s="213" t="str">
        <f>IF(L16="","",IFERROR(VLOOKUP(L16,Punktar!$A:$B,2,0),""))</f>
        <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row>
    <row r="17" spans="1:22" x14ac:dyDescent="0.2">
      <c r="A17" s="228"/>
      <c r="B17" s="212">
        <v>0.99305555555555547</v>
      </c>
      <c r="C17" s="22" t="s">
        <v>256</v>
      </c>
      <c r="D17" s="213" t="str">
        <f>IF(C17="","",IFERROR(VLOOKUP(C17,Punktar!$A:$B,2,0),""))</f>
        <v/>
      </c>
      <c r="E17" s="212">
        <v>0.9375</v>
      </c>
      <c r="F17" s="22" t="s">
        <v>261</v>
      </c>
      <c r="G17" s="213" t="str">
        <f>IF(F17="","",IFERROR(VLOOKUP(F17,Punktar!$A:$B,2,0),""))</f>
        <v/>
      </c>
      <c r="H17" s="212">
        <v>0.96527777777777779</v>
      </c>
      <c r="I17" s="22" t="s">
        <v>210</v>
      </c>
      <c r="J17" s="213">
        <f>IF(I17="","",IFERROR(VLOOKUP(I17,Punktar!$A:$B,2,0),""))</f>
        <v>1</v>
      </c>
      <c r="K17" s="212" t="s">
        <v>182</v>
      </c>
      <c r="L17" s="22" t="s">
        <v>182</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row>
    <row r="18" spans="1:22" x14ac:dyDescent="0.2">
      <c r="A18" s="228"/>
      <c r="B18" s="212" t="s">
        <v>182</v>
      </c>
      <c r="C18" s="22" t="s">
        <v>182</v>
      </c>
      <c r="D18" s="213" t="str">
        <f>IF(C18="","",IFERROR(VLOOKUP(C18,Punktar!$A:$B,2,0),""))</f>
        <v/>
      </c>
      <c r="E18" s="212">
        <v>0.94791666666666663</v>
      </c>
      <c r="F18" s="22" t="s">
        <v>257</v>
      </c>
      <c r="G18" s="213" t="str">
        <f>IF(F18="","",IFERROR(VLOOKUP(F18,Punktar!$A:$B,2,0),""))</f>
        <v/>
      </c>
      <c r="H18" s="212">
        <v>0.98263888888888884</v>
      </c>
      <c r="I18" s="22" t="s">
        <v>265</v>
      </c>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row>
    <row r="19" spans="1:22" x14ac:dyDescent="0.2">
      <c r="A19" s="228"/>
      <c r="B19" s="212" t="s">
        <v>182</v>
      </c>
      <c r="C19" s="22" t="s">
        <v>182</v>
      </c>
      <c r="D19" s="213" t="str">
        <f>IF(C19="","",IFERROR(VLOOKUP(C19,Punktar!$A:$B,2,0),""))</f>
        <v/>
      </c>
      <c r="E19" s="212">
        <v>0.96875</v>
      </c>
      <c r="F19" s="22" t="s">
        <v>260</v>
      </c>
      <c r="G19" s="213" t="str">
        <f>IF(F19="","",IFERROR(VLOOKUP(F19,Punktar!$A:$B,2,0),""))</f>
        <v/>
      </c>
      <c r="H19" s="212" t="s">
        <v>182</v>
      </c>
      <c r="I19" s="22" t="s">
        <v>182</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row>
    <row r="20" spans="1:22" x14ac:dyDescent="0.2">
      <c r="A20" s="229"/>
      <c r="B20" s="214" t="s">
        <v>182</v>
      </c>
      <c r="C20" s="215" t="s">
        <v>182</v>
      </c>
      <c r="D20" s="216" t="str">
        <f>IF(C20="","",IFERROR(VLOOKUP(C20,Punktar!$A:$B,2,0),""))</f>
        <v/>
      </c>
      <c r="E20" s="214">
        <v>0.99305555555555547</v>
      </c>
      <c r="F20" s="215" t="s">
        <v>262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row>
    <row r="21" spans="1:22" x14ac:dyDescent="0.2">
      <c r="A21" s="19"/>
      <c r="B21" s="135"/>
      <c r="C21" s="20"/>
      <c r="D21" s="136"/>
      <c r="E21" s="135"/>
      <c r="F21" s="20"/>
      <c r="G21" s="136"/>
      <c r="H21" s="135"/>
      <c r="I21" s="20"/>
      <c r="J21" s="136"/>
      <c r="K21" s="135"/>
      <c r="L21" s="20"/>
      <c r="M21" s="136"/>
      <c r="N21" s="135"/>
      <c r="O21" s="20"/>
      <c r="P21" s="136"/>
      <c r="Q21" s="135"/>
      <c r="R21" s="20"/>
      <c r="S21" s="136"/>
      <c r="T21" s="135"/>
      <c r="U21" s="20"/>
      <c r="V21" s="136"/>
    </row>
    <row r="22" spans="1:22" x14ac:dyDescent="0.2">
      <c r="A22" s="1"/>
      <c r="B22" s="11"/>
      <c r="C22" s="11"/>
      <c r="D22" s="11"/>
      <c r="E22" s="11"/>
      <c r="F22" s="1"/>
      <c r="G22" s="11"/>
      <c r="H22" s="11"/>
      <c r="I22" s="1"/>
      <c r="J22" s="1"/>
      <c r="K22" s="1"/>
      <c r="L22" s="1"/>
      <c r="M22" s="1"/>
      <c r="N22" s="1"/>
      <c r="O22" s="1"/>
      <c r="P22" s="1"/>
      <c r="Q22" s="1"/>
      <c r="R22" s="1"/>
      <c r="S22" s="11"/>
      <c r="T22" s="11"/>
      <c r="U22" s="11"/>
      <c r="V22" s="1"/>
    </row>
    <row r="23" spans="1:22" x14ac:dyDescent="0.2">
      <c r="A23" s="1"/>
      <c r="B23" s="11"/>
      <c r="C23" s="11"/>
      <c r="D23" s="11"/>
      <c r="E23" s="11"/>
      <c r="F23" s="1"/>
      <c r="G23" s="11"/>
      <c r="H23" s="11"/>
      <c r="I23" s="1"/>
      <c r="J23" s="1"/>
      <c r="K23" s="1"/>
      <c r="L23" s="1"/>
      <c r="M23" s="1"/>
      <c r="N23" s="1"/>
      <c r="O23" s="1"/>
      <c r="P23" s="1"/>
      <c r="Q23" s="1"/>
      <c r="R23" s="1"/>
      <c r="S23" s="11"/>
      <c r="T23" s="11"/>
      <c r="U23" s="11"/>
      <c r="V23" s="1"/>
    </row>
    <row r="24" spans="1:22" x14ac:dyDescent="0.2">
      <c r="A24" s="1"/>
      <c r="B24" s="11"/>
      <c r="C24" s="11"/>
      <c r="D24" s="11"/>
      <c r="E24" s="11"/>
      <c r="F24" s="1"/>
      <c r="G24" s="11"/>
      <c r="H24" s="11"/>
      <c r="I24" s="1"/>
      <c r="J24" s="1"/>
      <c r="K24" s="1"/>
      <c r="L24" s="1"/>
      <c r="M24" s="1"/>
      <c r="N24" s="1"/>
      <c r="O24" s="1"/>
      <c r="P24" s="1"/>
      <c r="Q24" s="1"/>
      <c r="R24" s="1"/>
      <c r="S24" s="11"/>
      <c r="T24" s="11"/>
      <c r="U24" s="11"/>
      <c r="V24" s="1"/>
    </row>
    <row r="25" spans="1:22" x14ac:dyDescent="0.2">
      <c r="A25" s="1"/>
      <c r="B25" s="11"/>
      <c r="C25" s="11"/>
      <c r="D25" s="11"/>
      <c r="E25" s="11"/>
      <c r="F25" s="1"/>
      <c r="G25" s="11"/>
      <c r="H25" s="11"/>
      <c r="I25" s="1"/>
      <c r="J25" s="1"/>
      <c r="K25" s="1"/>
      <c r="L25" s="1"/>
      <c r="M25" s="1"/>
      <c r="N25" s="1"/>
      <c r="O25" s="1"/>
      <c r="P25" s="1"/>
      <c r="Q25" s="1"/>
      <c r="R25" s="1"/>
      <c r="S25" s="11"/>
      <c r="T25" s="11"/>
      <c r="U25" s="11"/>
      <c r="V25" s="1"/>
    </row>
    <row r="26" spans="1:22" x14ac:dyDescent="0.2">
      <c r="A26" s="1"/>
      <c r="B26" s="11"/>
      <c r="C26" s="11"/>
      <c r="D26" s="11"/>
      <c r="E26" s="11"/>
      <c r="F26" s="1"/>
      <c r="G26" s="11"/>
      <c r="H26" s="11"/>
      <c r="I26" s="1"/>
      <c r="J26" s="1"/>
      <c r="K26" s="1"/>
      <c r="L26" s="1"/>
      <c r="M26" s="1"/>
      <c r="N26" s="1"/>
      <c r="O26" s="1"/>
      <c r="P26" s="1"/>
      <c r="Q26" s="1"/>
      <c r="R26" s="1"/>
      <c r="S26" s="11"/>
      <c r="T26" s="11"/>
      <c r="U26" s="11"/>
      <c r="V26" s="1"/>
    </row>
    <row r="27" spans="1:22" x14ac:dyDescent="0.2">
      <c r="A27" s="1"/>
      <c r="B27" s="11"/>
      <c r="C27" s="11"/>
      <c r="D27" s="11"/>
      <c r="E27" s="11"/>
      <c r="F27" s="1"/>
      <c r="G27" s="11"/>
      <c r="H27" s="11"/>
      <c r="I27" s="1"/>
      <c r="J27" s="1"/>
      <c r="K27" s="1"/>
      <c r="L27" s="1"/>
      <c r="M27" s="1"/>
      <c r="N27" s="1"/>
      <c r="O27" s="1"/>
      <c r="P27" s="1"/>
      <c r="Q27" s="1"/>
      <c r="R27" s="1"/>
      <c r="S27" s="11"/>
      <c r="T27" s="11"/>
      <c r="U27" s="11"/>
      <c r="V27" s="1"/>
    </row>
    <row r="28" spans="1:22" x14ac:dyDescent="0.2">
      <c r="A28" s="1"/>
      <c r="B28" s="11"/>
      <c r="C28" s="11"/>
      <c r="D28" s="11"/>
      <c r="E28" s="11"/>
      <c r="F28" s="1"/>
      <c r="G28" s="1"/>
      <c r="H28" s="1"/>
      <c r="I28" s="1"/>
      <c r="J28" s="1"/>
      <c r="K28" s="1"/>
      <c r="L28" s="1"/>
      <c r="M28" s="1"/>
      <c r="N28" s="1"/>
      <c r="O28" s="1"/>
      <c r="P28" s="1"/>
      <c r="Q28" s="1"/>
      <c r="R28" s="1"/>
      <c r="S28" s="11"/>
      <c r="T28" s="11"/>
      <c r="U28" s="11"/>
      <c r="V28" s="1"/>
    </row>
    <row r="29" spans="1:22" x14ac:dyDescent="0.2">
      <c r="A29" s="1"/>
      <c r="B29" s="11"/>
      <c r="C29" s="11"/>
      <c r="D29" s="11"/>
      <c r="E29" s="11"/>
      <c r="F29" s="1"/>
      <c r="G29" s="1"/>
      <c r="H29" s="1"/>
      <c r="I29" s="1"/>
      <c r="J29" s="1"/>
      <c r="K29" s="1"/>
      <c r="L29" s="1"/>
      <c r="M29" s="1"/>
      <c r="N29" s="1"/>
      <c r="O29" s="1"/>
      <c r="P29" s="1"/>
      <c r="Q29" s="1"/>
      <c r="R29" s="1"/>
      <c r="S29" s="11"/>
      <c r="T29" s="11"/>
      <c r="U29" s="11"/>
      <c r="V29" s="1"/>
    </row>
    <row r="30" spans="1:22" x14ac:dyDescent="0.2">
      <c r="A30" s="1"/>
      <c r="B30" s="1"/>
      <c r="C30" s="1"/>
      <c r="D30" s="1"/>
      <c r="E30" s="1"/>
      <c r="F30" s="1"/>
      <c r="G30" s="1"/>
      <c r="H30" s="1"/>
      <c r="I30" s="1"/>
      <c r="J30" s="1"/>
      <c r="K30" s="1"/>
      <c r="L30" s="1"/>
      <c r="M30" s="1"/>
      <c r="N30" s="1"/>
      <c r="O30" s="1"/>
      <c r="P30" s="1"/>
      <c r="Q30" s="1"/>
      <c r="R30" s="1"/>
      <c r="S30" s="1"/>
      <c r="T30" s="1"/>
      <c r="U30" s="1"/>
      <c r="V30" s="1"/>
    </row>
    <row r="31" spans="1:22" x14ac:dyDescent="0.2"/>
    <row r="32" spans="1: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8" priority="1" operator="containsText" text=" YYY">
      <formula>NOT(ISERROR(SEARCH(" YYY",B5)))</formula>
    </cfRule>
  </conditionalFormatting>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W70"/>
  <sheetViews>
    <sheetView showGridLines="0" showRowColHeaders="0" workbookViewId="0">
      <pane xSplit="1" ySplit="4" topLeftCell="B5" activePane="bottomRight" state="frozen"/>
      <selection activeCell="O17" sqref="O17"/>
      <selection pane="topRight" activeCell="O17" sqref="O17"/>
      <selection pane="bottomLeft" activeCell="O17" sqref="O17"/>
      <selection pane="bottomRight" activeCell="O17" sqref="O17"/>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September 2023 | Vika 39</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38'!T4+1</f>
        <v>45194</v>
      </c>
      <c r="C4" s="226"/>
      <c r="D4" s="218" t="s">
        <v>44</v>
      </c>
      <c r="E4" s="232">
        <f>B4+1</f>
        <v>45195</v>
      </c>
      <c r="F4" s="226"/>
      <c r="G4" s="219" t="s">
        <v>44</v>
      </c>
      <c r="H4" s="226">
        <f>E4+1</f>
        <v>45196</v>
      </c>
      <c r="I4" s="226"/>
      <c r="J4" s="218" t="s">
        <v>44</v>
      </c>
      <c r="K4" s="232">
        <f>H4+1</f>
        <v>45197</v>
      </c>
      <c r="L4" s="226"/>
      <c r="M4" s="219" t="s">
        <v>44</v>
      </c>
      <c r="N4" s="226">
        <f>K4+1</f>
        <v>45198</v>
      </c>
      <c r="O4" s="226"/>
      <c r="P4" s="218" t="s">
        <v>44</v>
      </c>
      <c r="Q4" s="232">
        <f>N4+1</f>
        <v>45199</v>
      </c>
      <c r="R4" s="226"/>
      <c r="S4" s="219" t="s">
        <v>44</v>
      </c>
      <c r="T4" s="226">
        <f>Q4+1</f>
        <v>45200</v>
      </c>
      <c r="U4" s="226"/>
      <c r="V4" s="219" t="s">
        <v>44</v>
      </c>
      <c r="W4" s="61"/>
    </row>
    <row r="5" spans="1:23" ht="11.25" customHeight="1" x14ac:dyDescent="0.2">
      <c r="A5" s="227" t="s">
        <v>12</v>
      </c>
      <c r="B5" s="209">
        <v>0.74652777777777779</v>
      </c>
      <c r="C5" s="210" t="s">
        <v>35</v>
      </c>
      <c r="D5" s="211">
        <f>IF(C5="","",IFERROR(VLOOKUP(C5,Punktar!$A:$B,2,0),""))</f>
        <v>1</v>
      </c>
      <c r="E5" s="209">
        <v>0.75</v>
      </c>
      <c r="F5" s="210" t="s">
        <v>35</v>
      </c>
      <c r="G5" s="211">
        <f>IF(F5="","",IFERROR(VLOOKUP(F5,Punktar!$A:$B,2,0),""))</f>
        <v>1</v>
      </c>
      <c r="H5" s="209">
        <v>0.72916666666666663</v>
      </c>
      <c r="I5" s="210" t="s">
        <v>35</v>
      </c>
      <c r="J5" s="211">
        <f>IF(I5="","",IFERROR(VLOOKUP(I5,Punktar!$A:$B,2,0),""))</f>
        <v>1</v>
      </c>
      <c r="K5" s="209">
        <v>0.75694444444444453</v>
      </c>
      <c r="L5" s="210" t="s">
        <v>35</v>
      </c>
      <c r="M5" s="211">
        <f>IF(L5="","",IFERROR(VLOOKUP(L5,Punktar!$A:$B,2,0),""))</f>
        <v>1</v>
      </c>
      <c r="N5" s="209">
        <v>0.73958333333333337</v>
      </c>
      <c r="O5" s="210" t="s">
        <v>35</v>
      </c>
      <c r="P5" s="211">
        <f>IF(O5="","",IFERROR(VLOOKUP(O5,Punktar!$A:$B,2,0),""))</f>
        <v>1</v>
      </c>
      <c r="Q5" s="209">
        <v>0.76736111111111116</v>
      </c>
      <c r="R5" s="210" t="s">
        <v>152</v>
      </c>
      <c r="S5" s="211">
        <f>IF(R5="","",IFERROR(VLOOKUP(R5,Punktar!$A:$B,2,0),""))</f>
        <v>3</v>
      </c>
      <c r="T5" s="209">
        <v>0.72916666666666663</v>
      </c>
      <c r="U5" s="210" t="s">
        <v>98</v>
      </c>
      <c r="V5" s="211">
        <f>IF(U5="","",IFERROR(VLOOKUP(U5,Punktar!$A:$B,2,0),""))</f>
        <v>1</v>
      </c>
      <c r="W5" s="61"/>
    </row>
    <row r="6" spans="1:23" x14ac:dyDescent="0.2">
      <c r="A6" s="228"/>
      <c r="B6" s="212">
        <v>0.76736111111111116</v>
      </c>
      <c r="C6" s="22" t="s">
        <v>152</v>
      </c>
      <c r="D6" s="213">
        <f>IF(C6="","",IFERROR(VLOOKUP(C6,Punktar!$A:$B,2,0),""))</f>
        <v>3</v>
      </c>
      <c r="E6" s="212">
        <v>0.76736111111111116</v>
      </c>
      <c r="F6" s="22" t="s">
        <v>152</v>
      </c>
      <c r="G6" s="213">
        <f>IF(F6="","",IFERROR(VLOOKUP(F6,Punktar!$A:$B,2,0),""))</f>
        <v>3</v>
      </c>
      <c r="H6" s="212">
        <v>0.76736111111111116</v>
      </c>
      <c r="I6" s="22" t="s">
        <v>152</v>
      </c>
      <c r="J6" s="213">
        <f>IF(I6="","",IFERROR(VLOOKUP(I6,Punktar!$A:$B,2,0),""))</f>
        <v>3</v>
      </c>
      <c r="K6" s="212">
        <v>0.76736111111111116</v>
      </c>
      <c r="L6" s="22" t="s">
        <v>152</v>
      </c>
      <c r="M6" s="213">
        <f>IF(L6="","",IFERROR(VLOOKUP(L6,Punktar!$A:$B,2,0),""))</f>
        <v>3</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0.77083333333333337</v>
      </c>
      <c r="C7" s="22" t="s">
        <v>37</v>
      </c>
      <c r="D7" s="213">
        <f>IF(C7="","",IFERROR(VLOOKUP(C7,Punktar!$A:$B,2,0),""))</f>
        <v>8</v>
      </c>
      <c r="E7" s="212">
        <v>0.77083333333333337</v>
      </c>
      <c r="F7" s="22" t="s">
        <v>37</v>
      </c>
      <c r="G7" s="213">
        <f>IF(F7="","",IFERROR(VLOOKUP(F7,Punktar!$A:$B,2,0),""))</f>
        <v>8</v>
      </c>
      <c r="H7" s="212">
        <v>0.77083333333333337</v>
      </c>
      <c r="I7" s="22" t="s">
        <v>37</v>
      </c>
      <c r="J7" s="213">
        <f>IF(I7="","",IFERROR(VLOOKUP(I7,Punktar!$A:$B,2,0),""))</f>
        <v>8</v>
      </c>
      <c r="K7" s="212">
        <v>0.77083333333333337</v>
      </c>
      <c r="L7" s="22" t="s">
        <v>37</v>
      </c>
      <c r="M7" s="213">
        <f>IF(L7="","",IFERROR(VLOOKUP(L7,Punktar!$A:$B,2,0),""))</f>
        <v>8</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0.78472222222222221</v>
      </c>
      <c r="C8" s="22" t="s">
        <v>36</v>
      </c>
      <c r="D8" s="213">
        <f>IF(C8="","",IFERROR(VLOOKUP(C8,Punktar!$A:$B,2,0),""))</f>
        <v>6</v>
      </c>
      <c r="E8" s="212">
        <v>0.78472222222222221</v>
      </c>
      <c r="F8" s="22" t="s">
        <v>36</v>
      </c>
      <c r="G8" s="213">
        <f>IF(F8="","",IFERROR(VLOOKUP(F8,Punktar!$A:$B,2,0),""))</f>
        <v>6</v>
      </c>
      <c r="H8" s="212">
        <v>0.78472222222222221</v>
      </c>
      <c r="I8" s="22" t="s">
        <v>36</v>
      </c>
      <c r="J8" s="213">
        <f>IF(I8="","",IFERROR(VLOOKUP(I8,Punktar!$A:$B,2,0),""))</f>
        <v>6</v>
      </c>
      <c r="K8" s="212">
        <v>0.78472222222222221</v>
      </c>
      <c r="L8" s="22" t="s">
        <v>36</v>
      </c>
      <c r="M8" s="213">
        <f>IF(L8="","",IFERROR(VLOOKUP(L8,Punktar!$A:$B,2,0),""))</f>
        <v>6</v>
      </c>
      <c r="N8" s="212">
        <v>0.78472222222222221</v>
      </c>
      <c r="O8" s="22" t="s">
        <v>36</v>
      </c>
      <c r="P8" s="213">
        <f>IF(O8="","",IFERROR(VLOOKUP(O8,Punktar!$A:$B,2,0),""))</f>
        <v>6</v>
      </c>
      <c r="Q8" s="212">
        <v>0.79166666666666674</v>
      </c>
      <c r="R8" s="22" t="s">
        <v>212</v>
      </c>
      <c r="S8" s="213">
        <f>IF(R8="","",IFERROR(VLOOKUP(R8,Punktar!$A:$B,2,0),""))</f>
        <v>5</v>
      </c>
      <c r="T8" s="212">
        <v>0.78472222222222221</v>
      </c>
      <c r="U8" s="22" t="s">
        <v>36</v>
      </c>
      <c r="V8" s="213">
        <f>IF(U8="","",IFERROR(VLOOKUP(U8,Punktar!$A:$B,2,0),""))</f>
        <v>6</v>
      </c>
      <c r="W8" s="61"/>
    </row>
    <row r="9" spans="1:23" x14ac:dyDescent="0.2">
      <c r="A9" s="228"/>
      <c r="B9" s="212">
        <v>0.78819444444444453</v>
      </c>
      <c r="C9" s="22" t="s">
        <v>148</v>
      </c>
      <c r="D9" s="213" t="str">
        <f>IF(C9="","",IFERROR(VLOOKUP(C9,Punktar!$A:$B,2,0),""))</f>
        <v>-</v>
      </c>
      <c r="E9" s="212">
        <v>0.78819444444444453</v>
      </c>
      <c r="F9" s="22" t="s">
        <v>148</v>
      </c>
      <c r="G9" s="213" t="str">
        <f>IF(F9="","",IFERROR(VLOOKUP(F9,Punktar!$A:$B,2,0),""))</f>
        <v>-</v>
      </c>
      <c r="H9" s="212">
        <v>0.78819444444444453</v>
      </c>
      <c r="I9" s="22" t="s">
        <v>148</v>
      </c>
      <c r="J9" s="213" t="str">
        <f>IF(I9="","",IFERROR(VLOOKUP(I9,Punktar!$A:$B,2,0),""))</f>
        <v>-</v>
      </c>
      <c r="K9" s="212">
        <v>0.78819444444444453</v>
      </c>
      <c r="L9" s="22" t="s">
        <v>148</v>
      </c>
      <c r="M9" s="213" t="str">
        <f>IF(L9="","",IFERROR(VLOOKUP(L9,Punktar!$A:$B,2,0),""))</f>
        <v>-</v>
      </c>
      <c r="N9" s="212">
        <v>0.79166666666666663</v>
      </c>
      <c r="O9" s="22" t="s">
        <v>216</v>
      </c>
      <c r="P9" s="213">
        <f>IF(O9="","",IFERROR(VLOOKUP(O9,Punktar!$A:$B,2,0),""))</f>
        <v>3</v>
      </c>
      <c r="Q9" s="212">
        <v>0.80208333333333337</v>
      </c>
      <c r="R9" s="22" t="s">
        <v>253</v>
      </c>
      <c r="S9" s="213">
        <f>IF(R9="","",IFERROR(VLOOKUP(R9,Punktar!$A:$B,2,0),""))</f>
        <v>6</v>
      </c>
      <c r="T9" s="212">
        <v>0.79166666666666663</v>
      </c>
      <c r="U9" s="22" t="s">
        <v>179</v>
      </c>
      <c r="V9" s="213" t="str">
        <f>IF(U9="","",IFERROR(VLOOKUP(U9,Punktar!$A:$B,2,0),""))</f>
        <v/>
      </c>
      <c r="W9" s="61"/>
    </row>
    <row r="10" spans="1:23" x14ac:dyDescent="0.2">
      <c r="A10" s="228"/>
      <c r="B10" s="212">
        <v>0.79861111111111105</v>
      </c>
      <c r="C10" s="22" t="s">
        <v>178</v>
      </c>
      <c r="D10" s="213" t="str">
        <f>IF(C10="","",IFERROR(VLOOKUP(C10,Punktar!$A:$B,2,0),""))</f>
        <v/>
      </c>
      <c r="E10" s="212">
        <v>0.79861111111111116</v>
      </c>
      <c r="F10" s="22" t="s">
        <v>186</v>
      </c>
      <c r="G10" s="213">
        <f>IF(F10="","",IFERROR(VLOOKUP(F10,Punktar!$A:$B,2,0),""))</f>
        <v>2</v>
      </c>
      <c r="H10" s="212">
        <v>0.79861111111111105</v>
      </c>
      <c r="I10" s="22" t="s">
        <v>213</v>
      </c>
      <c r="J10" s="213">
        <f>IF(I10="","",IFERROR(VLOOKUP(I10,Punktar!$A:$B,2,0),""))</f>
        <v>2</v>
      </c>
      <c r="K10" s="212">
        <v>0.79861111111111105</v>
      </c>
      <c r="L10" s="22" t="s">
        <v>203</v>
      </c>
      <c r="M10" s="213">
        <f>IF(L10="","",IFERROR(VLOOKUP(L10,Punktar!$A:$B,2,0),""))</f>
        <v>2</v>
      </c>
      <c r="N10" s="212">
        <v>0.8125</v>
      </c>
      <c r="O10" s="22" t="s">
        <v>218</v>
      </c>
      <c r="P10" s="213">
        <f>IF(O10="","",IFERROR(VLOOKUP(O10,Punktar!$A:$B,2,0),""))</f>
        <v>2</v>
      </c>
      <c r="Q10" s="212">
        <v>0.81944444444444453</v>
      </c>
      <c r="R10" s="22" t="s">
        <v>221</v>
      </c>
      <c r="S10" s="213" t="str">
        <f>IF(R10="","",IFERROR(VLOOKUP(R10,Punktar!$A:$B,2,0),""))</f>
        <v/>
      </c>
      <c r="T10" s="212">
        <v>0.8125</v>
      </c>
      <c r="U10" s="22" t="s">
        <v>201</v>
      </c>
      <c r="V10" s="213" t="str">
        <f>IF(U10="","",IFERROR(VLOOKUP(U10,Punktar!$A:$B,2,0),""))</f>
        <v/>
      </c>
      <c r="W10" s="61"/>
    </row>
    <row r="11" spans="1:23" x14ac:dyDescent="0.2">
      <c r="A11" s="228"/>
      <c r="B11" s="212">
        <v>0.81597222222222221</v>
      </c>
      <c r="C11" s="22" t="s">
        <v>214</v>
      </c>
      <c r="D11" s="213">
        <f>IF(C11="","",IFERROR(VLOOKUP(C11,Punktar!$A:$B,2,0),""))</f>
        <v>2</v>
      </c>
      <c r="E11" s="212">
        <v>0.82986111111111116</v>
      </c>
      <c r="F11" s="22" t="s">
        <v>202</v>
      </c>
      <c r="G11" s="213">
        <f>IF(F11="","",IFERROR(VLOOKUP(F11,Punktar!$A:$B,2,0),""))</f>
        <v>3</v>
      </c>
      <c r="H11" s="212">
        <v>0.8125</v>
      </c>
      <c r="I11" s="22" t="s">
        <v>195</v>
      </c>
      <c r="J11" s="213">
        <f>IF(I11="","",IFERROR(VLOOKUP(I11,Punktar!$A:$B,2,0),""))</f>
        <v>2</v>
      </c>
      <c r="K11" s="212">
        <v>0.83333333333333337</v>
      </c>
      <c r="L11" s="22" t="s">
        <v>190</v>
      </c>
      <c r="M11" s="213">
        <f>IF(L11="","",IFERROR(VLOOKUP(L11,Punktar!$A:$B,2,0),""))</f>
        <v>2</v>
      </c>
      <c r="N11" s="212">
        <v>0.84375</v>
      </c>
      <c r="O11" s="22" t="s">
        <v>220</v>
      </c>
      <c r="P11" s="213" t="str">
        <f>IF(O11="","",IFERROR(VLOOKUP(O11,Punktar!$A:$B,2,0),""))</f>
        <v/>
      </c>
      <c r="Q11" s="212">
        <v>0.90277777777777779</v>
      </c>
      <c r="R11" s="22" t="s">
        <v>208</v>
      </c>
      <c r="S11" s="213" t="str">
        <f>IF(R11="","",IFERROR(VLOOKUP(R11,Punktar!$A:$B,2,0),""))</f>
        <v/>
      </c>
      <c r="T11" s="212">
        <v>0.875</v>
      </c>
      <c r="U11" s="22" t="s">
        <v>219</v>
      </c>
      <c r="V11" s="213">
        <f>IF(U11="","",IFERROR(VLOOKUP(U11,Punktar!$A:$B,2,0),""))</f>
        <v>1</v>
      </c>
      <c r="W11" s="61"/>
    </row>
    <row r="12" spans="1:23" x14ac:dyDescent="0.2">
      <c r="A12" s="228"/>
      <c r="B12" s="212">
        <v>0.85069444444444453</v>
      </c>
      <c r="C12" s="22" t="s">
        <v>217</v>
      </c>
      <c r="D12" s="213" t="str">
        <f>IF(C12="","",IFERROR(VLOOKUP(C12,Punktar!$A:$B,2,0),""))</f>
        <v/>
      </c>
      <c r="E12" s="212">
        <v>0.86111111111111116</v>
      </c>
      <c r="F12" s="22" t="s">
        <v>169</v>
      </c>
      <c r="G12" s="213" t="str">
        <f>IF(F12="","",IFERROR(VLOOKUP(F12,Punktar!$A:$B,2,0),""))</f>
        <v/>
      </c>
      <c r="H12" s="212">
        <v>0.84722222222222221</v>
      </c>
      <c r="I12" s="22" t="s">
        <v>189</v>
      </c>
      <c r="J12" s="213">
        <f>IF(I12="","",IFERROR(VLOOKUP(I12,Punktar!$A:$B,2,0),""))</f>
        <v>2</v>
      </c>
      <c r="K12" s="212">
        <v>0.86111111111111116</v>
      </c>
      <c r="L12" s="22" t="s">
        <v>215</v>
      </c>
      <c r="M12" s="213" t="str">
        <f>IF(L12="","",IFERROR(VLOOKUP(L12,Punktar!$A:$B,2,0),""))</f>
        <v/>
      </c>
      <c r="N12" s="212">
        <v>0.91666666666666663</v>
      </c>
      <c r="O12" s="22" t="s">
        <v>207</v>
      </c>
      <c r="P12" s="213" t="str">
        <f>IF(O12="","",IFERROR(VLOOKUP(O12,Punktar!$A:$B,2,0),""))</f>
        <v/>
      </c>
      <c r="Q12" s="212">
        <v>0.96875</v>
      </c>
      <c r="R12" s="22" t="s">
        <v>209</v>
      </c>
      <c r="S12" s="213" t="str">
        <f>IF(R12="","",IFERROR(VLOOKUP(R12,Punktar!$A:$B,2,0),""))</f>
        <v/>
      </c>
      <c r="T12" s="212">
        <v>0.89930555555555547</v>
      </c>
      <c r="U12" s="22" t="s">
        <v>185</v>
      </c>
      <c r="V12" s="213" t="str">
        <f>IF(U12="","",IFERROR(VLOOKUP(U12,Punktar!$A:$B,2,0),""))</f>
        <v/>
      </c>
      <c r="W12" s="61"/>
    </row>
    <row r="13" spans="1:23" x14ac:dyDescent="0.2">
      <c r="A13" s="228"/>
      <c r="B13" s="212">
        <v>0.88194444444444453</v>
      </c>
      <c r="C13" s="22" t="s">
        <v>180</v>
      </c>
      <c r="D13" s="213" t="str">
        <f>IF(C13="","",IFERROR(VLOOKUP(C13,Punktar!$A:$B,2,0),""))</f>
        <v/>
      </c>
      <c r="E13" s="212">
        <v>0.87847222222222221</v>
      </c>
      <c r="F13" s="22" t="s">
        <v>187</v>
      </c>
      <c r="G13" s="213">
        <f>IF(F13="","",IFERROR(VLOOKUP(F13,Punktar!$A:$B,2,0),""))</f>
        <v>1</v>
      </c>
      <c r="H13" s="212">
        <v>0.86458333333333337</v>
      </c>
      <c r="I13" s="22" t="s">
        <v>222</v>
      </c>
      <c r="J13" s="213">
        <f>IF(I13="","",IFERROR(VLOOKUP(I13,Punktar!$A:$B,2,0),""))</f>
        <v>2</v>
      </c>
      <c r="K13" s="212">
        <v>0.91319444444444453</v>
      </c>
      <c r="L13" s="22" t="s">
        <v>210</v>
      </c>
      <c r="M13" s="213">
        <f>IF(L13="","",IFERROR(VLOOKUP(L13,Punktar!$A:$B,2,0),""))</f>
        <v>1</v>
      </c>
      <c r="N13" s="212">
        <v>0.98263888888888884</v>
      </c>
      <c r="O13" s="22" t="s">
        <v>210</v>
      </c>
      <c r="P13" s="213">
        <f>IF(O13="","",IFERROR(VLOOKUP(O13,Punktar!$A:$B,2,0),""))</f>
        <v>1</v>
      </c>
      <c r="Q13" s="212" t="s">
        <v>182</v>
      </c>
      <c r="R13" s="22" t="s">
        <v>182</v>
      </c>
      <c r="S13" s="213" t="str">
        <f>IF(R13="","",IFERROR(VLOOKUP(R13,Punktar!$A:$B,2,0),""))</f>
        <v/>
      </c>
      <c r="T13" s="212">
        <v>0.93402777777777779</v>
      </c>
      <c r="U13" s="22" t="s">
        <v>270</v>
      </c>
      <c r="V13" s="213" t="str">
        <f>IF(U13="","",IFERROR(VLOOKUP(U13,Punktar!$A:$B,2,0),""))</f>
        <v/>
      </c>
      <c r="W13" s="61"/>
    </row>
    <row r="14" spans="1:23" x14ac:dyDescent="0.2">
      <c r="A14" s="228"/>
      <c r="B14" s="212">
        <v>0.92708333333333337</v>
      </c>
      <c r="C14" s="22" t="s">
        <v>210</v>
      </c>
      <c r="D14" s="213">
        <f>IF(C14="","",IFERROR(VLOOKUP(C14,Punktar!$A:$B,2,0),""))</f>
        <v>1</v>
      </c>
      <c r="E14" s="212">
        <v>0.89236111111111116</v>
      </c>
      <c r="F14" s="22" t="s">
        <v>223</v>
      </c>
      <c r="G14" s="213" t="str">
        <f>IF(F14="","",IFERROR(VLOOKUP(F14,Punktar!$A:$B,2,0),""))</f>
        <v/>
      </c>
      <c r="H14" s="212">
        <v>0.88541666666666663</v>
      </c>
      <c r="I14" s="22" t="s">
        <v>184</v>
      </c>
      <c r="J14" s="213">
        <f>IF(I14="","",IFERROR(VLOOKUP(I14,Punktar!$A:$B,2,0),""))</f>
        <v>2</v>
      </c>
      <c r="K14" s="212">
        <v>0.93055555555555547</v>
      </c>
      <c r="L14" s="22" t="s">
        <v>210</v>
      </c>
      <c r="M14" s="213">
        <f>IF(L14="","",IFERROR(VLOOKUP(L14,Punktar!$A:$B,2,0),""))</f>
        <v>1</v>
      </c>
      <c r="N14" s="212">
        <v>0.99652777777777779</v>
      </c>
      <c r="O14" s="22" t="s">
        <v>210</v>
      </c>
      <c r="P14" s="213">
        <f>IF(O14="","",IFERROR(VLOOKUP(O14,Punktar!$A:$B,2,0),""))</f>
        <v>1</v>
      </c>
      <c r="Q14" s="212" t="s">
        <v>182</v>
      </c>
      <c r="R14" s="22" t="s">
        <v>182</v>
      </c>
      <c r="S14" s="213" t="str">
        <f>IF(R14="","",IFERROR(VLOOKUP(R14,Punktar!$A:$B,2,0),""))</f>
        <v/>
      </c>
      <c r="T14" s="212">
        <v>0.97222222222222221</v>
      </c>
      <c r="U14" s="22" t="s">
        <v>271</v>
      </c>
      <c r="V14" s="213" t="str">
        <f>IF(U14="","",IFERROR(VLOOKUP(U14,Punktar!$A:$B,2,0),""))</f>
        <v/>
      </c>
      <c r="W14" s="61"/>
    </row>
    <row r="15" spans="1:23" x14ac:dyDescent="0.2">
      <c r="A15" s="228"/>
      <c r="B15" s="212">
        <v>0.94097222222222221</v>
      </c>
      <c r="C15" s="22" t="s">
        <v>210</v>
      </c>
      <c r="D15" s="213">
        <f>IF(C15="","",IFERROR(VLOOKUP(C15,Punktar!$A:$B,2,0),""))</f>
        <v>1</v>
      </c>
      <c r="E15" s="212">
        <v>0.90625</v>
      </c>
      <c r="F15" s="22" t="s">
        <v>210</v>
      </c>
      <c r="G15" s="213">
        <f>IF(F15="","",IFERROR(VLOOKUP(F15,Punktar!$A:$B,2,0),""))</f>
        <v>1</v>
      </c>
      <c r="H15" s="212">
        <v>0.90625</v>
      </c>
      <c r="I15" s="22" t="s">
        <v>215</v>
      </c>
      <c r="J15" s="213" t="str">
        <f>IF(I15="","",IFERROR(VLOOKUP(I15,Punktar!$A:$B,2,0),""))</f>
        <v/>
      </c>
      <c r="K15" s="212">
        <v>0.94444444444444453</v>
      </c>
      <c r="L15" s="22" t="s">
        <v>273</v>
      </c>
      <c r="M15" s="213" t="str">
        <f>IF(L15="","",IFERROR(VLOOKUP(L15,Punktar!$A:$B,2,0),""))</f>
        <v/>
      </c>
      <c r="N15" s="212" t="s">
        <v>182</v>
      </c>
      <c r="O15" s="22" t="s">
        <v>182</v>
      </c>
      <c r="P15" s="213" t="str">
        <f>IF(O15="","",IFERROR(VLOOKUP(O15,Punktar!$A:$B,2,0),""))</f>
        <v/>
      </c>
      <c r="Q15" s="212" t="s">
        <v>182</v>
      </c>
      <c r="R15" s="22" t="s">
        <v>182</v>
      </c>
      <c r="S15" s="213" t="str">
        <f>IF(R15="","",IFERROR(VLOOKUP(R15,Punktar!$A:$B,2,0),""))</f>
        <v/>
      </c>
      <c r="T15" s="212">
        <v>0.98611111111111116</v>
      </c>
      <c r="U15" s="22" t="s">
        <v>274</v>
      </c>
      <c r="V15" s="213" t="str">
        <f>IF(U15="","",IFERROR(VLOOKUP(U15,Punktar!$A:$B,2,0),""))</f>
        <v/>
      </c>
      <c r="W15" s="61"/>
    </row>
    <row r="16" spans="1:23" x14ac:dyDescent="0.2">
      <c r="A16" s="228"/>
      <c r="B16" s="212">
        <v>0.95833333333333337</v>
      </c>
      <c r="C16" s="22" t="s">
        <v>254</v>
      </c>
      <c r="D16" s="213" t="str">
        <f>IF(C16="","",IFERROR(VLOOKUP(C16,Punktar!$A:$B,2,0),""))</f>
        <v/>
      </c>
      <c r="E16" s="212">
        <v>0.92361111111111116</v>
      </c>
      <c r="F16" s="22" t="s">
        <v>210</v>
      </c>
      <c r="G16" s="213">
        <f>IF(F16="","",IFERROR(VLOOKUP(F16,Punktar!$A:$B,2,0),""))</f>
        <v>1</v>
      </c>
      <c r="H16" s="212">
        <v>0.95833333333333337</v>
      </c>
      <c r="I16" s="22" t="s">
        <v>210</v>
      </c>
      <c r="J16" s="213">
        <f>IF(I16="","",IFERROR(VLOOKUP(I16,Punktar!$A:$B,2,0),""))</f>
        <v>1</v>
      </c>
      <c r="K16" s="212">
        <v>0.98263888888888884</v>
      </c>
      <c r="L16" s="22" t="s">
        <v>269</v>
      </c>
      <c r="M16" s="213" t="str">
        <f>IF(L16="","",IFERROR(VLOOKUP(L16,Punktar!$A:$B,2,0),""))</f>
        <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61"/>
    </row>
    <row r="17" spans="1:23" x14ac:dyDescent="0.2">
      <c r="A17" s="228"/>
      <c r="B17" s="212">
        <v>0.99652777777777779</v>
      </c>
      <c r="C17" s="22" t="s">
        <v>255</v>
      </c>
      <c r="D17" s="213" t="str">
        <f>IF(C17="","",IFERROR(VLOOKUP(C17,Punktar!$A:$B,2,0),""))</f>
        <v/>
      </c>
      <c r="E17" s="212">
        <v>0.94097222222222221</v>
      </c>
      <c r="F17" s="22" t="s">
        <v>261</v>
      </c>
      <c r="G17" s="213" t="str">
        <f>IF(F17="","",IFERROR(VLOOKUP(F17,Punktar!$A:$B,2,0),""))</f>
        <v/>
      </c>
      <c r="H17" s="212">
        <v>0.97222222222222221</v>
      </c>
      <c r="I17" s="22" t="s">
        <v>210</v>
      </c>
      <c r="J17" s="213">
        <f>IF(I17="","",IFERROR(VLOOKUP(I17,Punktar!$A:$B,2,0),""))</f>
        <v>1</v>
      </c>
      <c r="K17" s="212" t="s">
        <v>182</v>
      </c>
      <c r="L17" s="22" t="s">
        <v>182</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t="s">
        <v>182</v>
      </c>
      <c r="C18" s="22" t="s">
        <v>182</v>
      </c>
      <c r="D18" s="213" t="str">
        <f>IF(C18="","",IFERROR(VLOOKUP(C18,Punktar!$A:$B,2,0),""))</f>
        <v/>
      </c>
      <c r="E18" s="212">
        <v>0.95138888888888884</v>
      </c>
      <c r="F18" s="22" t="s">
        <v>257</v>
      </c>
      <c r="G18" s="213" t="str">
        <f>IF(F18="","",IFERROR(VLOOKUP(F18,Punktar!$A:$B,2,0),""))</f>
        <v/>
      </c>
      <c r="H18" s="212">
        <v>0.98958333333333337</v>
      </c>
      <c r="I18" s="22" t="s">
        <v>265</v>
      </c>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t="s">
        <v>182</v>
      </c>
      <c r="C19" s="22" t="s">
        <v>182</v>
      </c>
      <c r="D19" s="213" t="str">
        <f>IF(C19="","",IFERROR(VLOOKUP(C19,Punktar!$A:$B,2,0),""))</f>
        <v/>
      </c>
      <c r="E19" s="212">
        <v>0.97222222222222221</v>
      </c>
      <c r="F19" s="22" t="s">
        <v>260</v>
      </c>
      <c r="G19" s="213" t="str">
        <f>IF(F19="","",IFERROR(VLOOKUP(F19,Punktar!$A:$B,2,0),""))</f>
        <v/>
      </c>
      <c r="H19" s="212" t="s">
        <v>182</v>
      </c>
      <c r="I19" s="22" t="s">
        <v>182</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v>0.99305555555555547</v>
      </c>
      <c r="F20" s="215" t="s">
        <v>262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7" priority="1" operator="containsText" text=" YYY">
      <formula>NOT(ISERROR(SEARCH(" YYY",B5)))</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W70"/>
  <sheetViews>
    <sheetView showGridLines="0" showRowColHeaders="0" workbookViewId="0">
      <pane xSplit="1" ySplit="4" topLeftCell="B5" activePane="bottomRight" state="frozen"/>
      <selection activeCell="O17" sqref="O17"/>
      <selection pane="topRight" activeCell="O17" sqref="O17"/>
      <selection pane="bottomLeft" activeCell="O17" sqref="O17"/>
      <selection pane="bottomRight" activeCell="L22" sqref="L22"/>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Október 2023 | Vika 40</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39'!T4+1</f>
        <v>45201</v>
      </c>
      <c r="C4" s="226"/>
      <c r="D4" s="218" t="s">
        <v>44</v>
      </c>
      <c r="E4" s="232">
        <f>B4+1</f>
        <v>45202</v>
      </c>
      <c r="F4" s="226"/>
      <c r="G4" s="219" t="s">
        <v>44</v>
      </c>
      <c r="H4" s="226">
        <f>E4+1</f>
        <v>45203</v>
      </c>
      <c r="I4" s="226"/>
      <c r="J4" s="218" t="s">
        <v>44</v>
      </c>
      <c r="K4" s="232">
        <f>H4+1</f>
        <v>45204</v>
      </c>
      <c r="L4" s="226"/>
      <c r="M4" s="219" t="s">
        <v>44</v>
      </c>
      <c r="N4" s="226">
        <f>K4+1</f>
        <v>45205</v>
      </c>
      <c r="O4" s="226"/>
      <c r="P4" s="218" t="s">
        <v>44</v>
      </c>
      <c r="Q4" s="232">
        <f>N4+1</f>
        <v>45206</v>
      </c>
      <c r="R4" s="226"/>
      <c r="S4" s="219" t="s">
        <v>44</v>
      </c>
      <c r="T4" s="226">
        <f>Q4+1</f>
        <v>45207</v>
      </c>
      <c r="U4" s="226"/>
      <c r="V4" s="219" t="s">
        <v>44</v>
      </c>
      <c r="W4" s="61"/>
    </row>
    <row r="5" spans="1:23" ht="11.25" customHeight="1" x14ac:dyDescent="0.2">
      <c r="A5" s="227" t="s">
        <v>12</v>
      </c>
      <c r="B5" s="209">
        <v>0.72916666666666663</v>
      </c>
      <c r="C5" s="210" t="s">
        <v>35</v>
      </c>
      <c r="D5" s="211">
        <f>IF(C5="","",IFERROR(VLOOKUP(C5,Punktar!$A:$B,2,0),""))</f>
        <v>1</v>
      </c>
      <c r="E5" s="209">
        <v>0.72569444444444453</v>
      </c>
      <c r="F5" s="210" t="s">
        <v>277</v>
      </c>
      <c r="G5" s="211">
        <f>IF(F5="","",IFERROR(VLOOKUP(F5,Punktar!$A:$B,2,0),""))</f>
        <v>2</v>
      </c>
      <c r="H5" s="209">
        <v>0.72569444444444453</v>
      </c>
      <c r="I5" s="210" t="s">
        <v>277</v>
      </c>
      <c r="J5" s="211">
        <f>IF(I5="","",IFERROR(VLOOKUP(I5,Punktar!$A:$B,2,0),""))</f>
        <v>2</v>
      </c>
      <c r="K5" s="209">
        <v>0.75</v>
      </c>
      <c r="L5" s="210" t="s">
        <v>277</v>
      </c>
      <c r="M5" s="211">
        <f>IF(L5="","",IFERROR(VLOOKUP(L5,Punktar!$A:$B,2,0),""))</f>
        <v>2</v>
      </c>
      <c r="N5" s="209">
        <v>0.73263888888888884</v>
      </c>
      <c r="O5" s="210" t="s">
        <v>35</v>
      </c>
      <c r="P5" s="211">
        <f>IF(O5="","",IFERROR(VLOOKUP(O5,Punktar!$A:$B,2,0),""))</f>
        <v>1</v>
      </c>
      <c r="Q5" s="209">
        <v>0.76736111111111116</v>
      </c>
      <c r="R5" s="210" t="s">
        <v>152</v>
      </c>
      <c r="S5" s="211">
        <f>IF(R5="","",IFERROR(VLOOKUP(R5,Punktar!$A:$B,2,0),""))</f>
        <v>3</v>
      </c>
      <c r="T5" s="209">
        <v>0.73611111111111116</v>
      </c>
      <c r="U5" s="210" t="s">
        <v>98</v>
      </c>
      <c r="V5" s="211">
        <f>IF(U5="","",IFERROR(VLOOKUP(U5,Punktar!$A:$B,2,0),""))</f>
        <v>1</v>
      </c>
      <c r="W5" s="61"/>
    </row>
    <row r="6" spans="1:23" x14ac:dyDescent="0.2">
      <c r="A6" s="228"/>
      <c r="B6" s="212">
        <v>0.76736111111111116</v>
      </c>
      <c r="C6" s="22" t="s">
        <v>152</v>
      </c>
      <c r="D6" s="213">
        <f>IF(C6="","",IFERROR(VLOOKUP(C6,Punktar!$A:$B,2,0),""))</f>
        <v>3</v>
      </c>
      <c r="E6" s="212">
        <v>0.74305555555555547</v>
      </c>
      <c r="F6" s="22" t="s">
        <v>35</v>
      </c>
      <c r="G6" s="213">
        <f>IF(F6="","",IFERROR(VLOOKUP(F6,Punktar!$A:$B,2,0),""))</f>
        <v>1</v>
      </c>
      <c r="H6" s="212">
        <v>0.74305555555555547</v>
      </c>
      <c r="I6" s="22" t="s">
        <v>35</v>
      </c>
      <c r="J6" s="213">
        <f>IF(I6="","",IFERROR(VLOOKUP(I6,Punktar!$A:$B,2,0),""))</f>
        <v>1</v>
      </c>
      <c r="K6" s="212">
        <v>0.76736111111111116</v>
      </c>
      <c r="L6" s="22" t="s">
        <v>35</v>
      </c>
      <c r="M6" s="213">
        <f>IF(L6="","",IFERROR(VLOOKUP(L6,Punktar!$A:$B,2,0),""))</f>
        <v>1</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0.77083333333333337</v>
      </c>
      <c r="C7" s="22" t="s">
        <v>37</v>
      </c>
      <c r="D7" s="213">
        <f>IF(C7="","",IFERROR(VLOOKUP(C7,Punktar!$A:$B,2,0),""))</f>
        <v>8</v>
      </c>
      <c r="E7" s="212">
        <v>0.76736111111111116</v>
      </c>
      <c r="F7" s="22" t="s">
        <v>152</v>
      </c>
      <c r="G7" s="213">
        <f>IF(F7="","",IFERROR(VLOOKUP(F7,Punktar!$A:$B,2,0),""))</f>
        <v>3</v>
      </c>
      <c r="H7" s="212">
        <v>0.76736111111111116</v>
      </c>
      <c r="I7" s="22" t="s">
        <v>152</v>
      </c>
      <c r="J7" s="213">
        <f>IF(I7="","",IFERROR(VLOOKUP(I7,Punktar!$A:$B,2,0),""))</f>
        <v>3</v>
      </c>
      <c r="K7" s="212">
        <v>0.76736111111111116</v>
      </c>
      <c r="L7" s="22" t="s">
        <v>152</v>
      </c>
      <c r="M7" s="213">
        <f>IF(L7="","",IFERROR(VLOOKUP(L7,Punktar!$A:$B,2,0),""))</f>
        <v>3</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0.78472222222222221</v>
      </c>
      <c r="C8" s="22" t="s">
        <v>36</v>
      </c>
      <c r="D8" s="213">
        <f>IF(C8="","",IFERROR(VLOOKUP(C8,Punktar!$A:$B,2,0),""))</f>
        <v>6</v>
      </c>
      <c r="E8" s="212">
        <v>0.77083333333333337</v>
      </c>
      <c r="F8" s="22" t="s">
        <v>37</v>
      </c>
      <c r="G8" s="213">
        <f>IF(F8="","",IFERROR(VLOOKUP(F8,Punktar!$A:$B,2,0),""))</f>
        <v>8</v>
      </c>
      <c r="H8" s="212">
        <v>0.77083333333333337</v>
      </c>
      <c r="I8" s="22" t="s">
        <v>37</v>
      </c>
      <c r="J8" s="213">
        <f>IF(I8="","",IFERROR(VLOOKUP(I8,Punktar!$A:$B,2,0),""))</f>
        <v>8</v>
      </c>
      <c r="K8" s="212">
        <v>0.77083333333333337</v>
      </c>
      <c r="L8" s="22" t="s">
        <v>37</v>
      </c>
      <c r="M8" s="213">
        <f>IF(L8="","",IFERROR(VLOOKUP(L8,Punktar!$A:$B,2,0),""))</f>
        <v>8</v>
      </c>
      <c r="N8" s="212">
        <v>0.78472222222222221</v>
      </c>
      <c r="O8" s="22" t="s">
        <v>36</v>
      </c>
      <c r="P8" s="213">
        <f>IF(O8="","",IFERROR(VLOOKUP(O8,Punktar!$A:$B,2,0),""))</f>
        <v>6</v>
      </c>
      <c r="Q8" s="212">
        <v>0.79166666666666674</v>
      </c>
      <c r="R8" s="22" t="s">
        <v>212</v>
      </c>
      <c r="S8" s="213">
        <f>IF(R8="","",IFERROR(VLOOKUP(R8,Punktar!$A:$B,2,0),""))</f>
        <v>5</v>
      </c>
      <c r="T8" s="212">
        <v>0.78472222222222221</v>
      </c>
      <c r="U8" s="22" t="s">
        <v>36</v>
      </c>
      <c r="V8" s="213">
        <f>IF(U8="","",IFERROR(VLOOKUP(U8,Punktar!$A:$B,2,0),""))</f>
        <v>6</v>
      </c>
      <c r="W8" s="61"/>
    </row>
    <row r="9" spans="1:23" x14ac:dyDescent="0.2">
      <c r="A9" s="228"/>
      <c r="B9" s="212">
        <v>0.78819444444444453</v>
      </c>
      <c r="C9" s="22" t="s">
        <v>148</v>
      </c>
      <c r="D9" s="213" t="str">
        <f>IF(C9="","",IFERROR(VLOOKUP(C9,Punktar!$A:$B,2,0),""))</f>
        <v>-</v>
      </c>
      <c r="E9" s="212">
        <v>0.78472222222222221</v>
      </c>
      <c r="F9" s="22" t="s">
        <v>36</v>
      </c>
      <c r="G9" s="213">
        <f>IF(F9="","",IFERROR(VLOOKUP(F9,Punktar!$A:$B,2,0),""))</f>
        <v>6</v>
      </c>
      <c r="H9" s="212">
        <v>0.78472222222222221</v>
      </c>
      <c r="I9" s="22" t="s">
        <v>36</v>
      </c>
      <c r="J9" s="213">
        <f>IF(I9="","",IFERROR(VLOOKUP(I9,Punktar!$A:$B,2,0),""))</f>
        <v>6</v>
      </c>
      <c r="K9" s="212">
        <v>0.78472222222222221</v>
      </c>
      <c r="L9" s="22" t="s">
        <v>36</v>
      </c>
      <c r="M9" s="213">
        <f>IF(L9="","",IFERROR(VLOOKUP(L9,Punktar!$A:$B,2,0),""))</f>
        <v>6</v>
      </c>
      <c r="N9" s="212">
        <v>0.79166666666666663</v>
      </c>
      <c r="O9" s="22" t="s">
        <v>216</v>
      </c>
      <c r="P9" s="213">
        <f>IF(O9="","",IFERROR(VLOOKUP(O9,Punktar!$A:$B,2,0),""))</f>
        <v>3</v>
      </c>
      <c r="Q9" s="212">
        <v>0.80208333333333337</v>
      </c>
      <c r="R9" s="22" t="s">
        <v>253</v>
      </c>
      <c r="S9" s="213">
        <f>IF(R9="","",IFERROR(VLOOKUP(R9,Punktar!$A:$B,2,0),""))</f>
        <v>6</v>
      </c>
      <c r="T9" s="212">
        <v>0.79166666666666663</v>
      </c>
      <c r="U9" s="22" t="s">
        <v>233</v>
      </c>
      <c r="V9" s="213">
        <f>IF(U9="","",IFERROR(VLOOKUP(U9,Punktar!$A:$B,2,0),""))</f>
        <v>5</v>
      </c>
      <c r="W9" s="61"/>
    </row>
    <row r="10" spans="1:23" x14ac:dyDescent="0.2">
      <c r="A10" s="228"/>
      <c r="B10" s="212">
        <v>0.79861111111111116</v>
      </c>
      <c r="C10" s="22" t="s">
        <v>225</v>
      </c>
      <c r="D10" s="213">
        <f>IF(C10="","",IFERROR(VLOOKUP(C10,Punktar!$A:$B,2,0),""))</f>
        <v>4</v>
      </c>
      <c r="E10" s="212">
        <v>0.78819444444444453</v>
      </c>
      <c r="F10" s="22" t="s">
        <v>148</v>
      </c>
      <c r="G10" s="213" t="str">
        <f>IF(F10="","",IFERROR(VLOOKUP(F10,Punktar!$A:$B,2,0),""))</f>
        <v>-</v>
      </c>
      <c r="H10" s="212">
        <v>0.78819444444444453</v>
      </c>
      <c r="I10" s="22" t="s">
        <v>148</v>
      </c>
      <c r="J10" s="213" t="str">
        <f>IF(I10="","",IFERROR(VLOOKUP(I10,Punktar!$A:$B,2,0),""))</f>
        <v>-</v>
      </c>
      <c r="K10" s="212">
        <v>0.78819444444444453</v>
      </c>
      <c r="L10" s="22" t="s">
        <v>148</v>
      </c>
      <c r="M10" s="213" t="str">
        <f>IF(L10="","",IFERROR(VLOOKUP(L10,Punktar!$A:$B,2,0),""))</f>
        <v>-</v>
      </c>
      <c r="N10" s="212">
        <v>0.8125</v>
      </c>
      <c r="O10" s="22" t="s">
        <v>218</v>
      </c>
      <c r="P10" s="213">
        <f>IF(O10="","",IFERROR(VLOOKUP(O10,Punktar!$A:$B,2,0),""))</f>
        <v>2</v>
      </c>
      <c r="Q10" s="212">
        <v>0.81944444444444453</v>
      </c>
      <c r="R10" s="22" t="s">
        <v>230</v>
      </c>
      <c r="S10" s="213" t="str">
        <f>IF(R10="","",IFERROR(VLOOKUP(R10,Punktar!$A:$B,2,0),""))</f>
        <v/>
      </c>
      <c r="T10" s="212">
        <v>0.82638888888888884</v>
      </c>
      <c r="U10" s="22" t="s">
        <v>234</v>
      </c>
      <c r="V10" s="213">
        <f>IF(U10="","",IFERROR(VLOOKUP(U10,Punktar!$A:$B,2,0),""))</f>
        <v>2</v>
      </c>
      <c r="W10" s="61"/>
    </row>
    <row r="11" spans="1:23" x14ac:dyDescent="0.2">
      <c r="A11" s="228"/>
      <c r="B11" s="212">
        <v>0.82291666666666663</v>
      </c>
      <c r="C11" s="22" t="s">
        <v>214</v>
      </c>
      <c r="D11" s="213">
        <f>IF(C11="","",IFERROR(VLOOKUP(C11,Punktar!$A:$B,2,0),""))</f>
        <v>2</v>
      </c>
      <c r="E11" s="212">
        <v>0.79861111111111116</v>
      </c>
      <c r="F11" s="22" t="s">
        <v>227</v>
      </c>
      <c r="G11" s="213">
        <f>IF(F11="","",IFERROR(VLOOKUP(F11,Punktar!$A:$B,2,0),""))</f>
        <v>3</v>
      </c>
      <c r="H11" s="212">
        <v>0.79861111111111116</v>
      </c>
      <c r="I11" s="22" t="s">
        <v>213</v>
      </c>
      <c r="J11" s="213">
        <f>IF(I11="","",IFERROR(VLOOKUP(I11,Punktar!$A:$B,2,0),""))</f>
        <v>2</v>
      </c>
      <c r="K11" s="212">
        <v>0.79861111111111116</v>
      </c>
      <c r="L11" s="22" t="s">
        <v>203</v>
      </c>
      <c r="M11" s="213">
        <f>IF(L11="","",IFERROR(VLOOKUP(L11,Punktar!$A:$B,2,0),""))</f>
        <v>2</v>
      </c>
      <c r="N11" s="212">
        <v>0.84375</v>
      </c>
      <c r="O11" s="22" t="s">
        <v>228</v>
      </c>
      <c r="P11" s="213">
        <f>IF(O11="","",IFERROR(VLOOKUP(O11,Punktar!$A:$B,2,0),""))</f>
        <v>2</v>
      </c>
      <c r="Q11" s="212">
        <v>0.88541666666666663</v>
      </c>
      <c r="R11" s="22" t="s">
        <v>231</v>
      </c>
      <c r="S11" s="213">
        <f>IF(R11="","",IFERROR(VLOOKUP(R11,Punktar!$A:$B,2,0),""))</f>
        <v>2</v>
      </c>
      <c r="T11" s="212">
        <v>0.88888888888888884</v>
      </c>
      <c r="U11" s="22" t="s">
        <v>219</v>
      </c>
      <c r="V11" s="213">
        <f>IF(U11="","",IFERROR(VLOOKUP(U11,Punktar!$A:$B,2,0),""))</f>
        <v>1</v>
      </c>
      <c r="W11" s="61"/>
    </row>
    <row r="12" spans="1:23" x14ac:dyDescent="0.2">
      <c r="A12" s="228"/>
      <c r="B12" s="212">
        <v>0.86111111111111116</v>
      </c>
      <c r="C12" s="22" t="s">
        <v>226</v>
      </c>
      <c r="D12" s="213">
        <f>IF(C12="","",IFERROR(VLOOKUP(C12,Punktar!$A:$B,2,0),""))</f>
        <v>2</v>
      </c>
      <c r="E12" s="212">
        <v>0.82638888888888884</v>
      </c>
      <c r="F12" s="22" t="s">
        <v>186</v>
      </c>
      <c r="G12" s="213">
        <f>IF(F12="","",IFERROR(VLOOKUP(F12,Punktar!$A:$B,2,0),""))</f>
        <v>2</v>
      </c>
      <c r="H12" s="212">
        <v>0.81944444444444453</v>
      </c>
      <c r="I12" s="22" t="s">
        <v>195</v>
      </c>
      <c r="J12" s="213">
        <f>IF(I12="","",IFERROR(VLOOKUP(I12,Punktar!$A:$B,2,0),""))</f>
        <v>2</v>
      </c>
      <c r="K12" s="212">
        <v>0.82986111111111116</v>
      </c>
      <c r="L12" s="22" t="s">
        <v>278</v>
      </c>
      <c r="M12" s="213">
        <f>IF(L12="","",IFERROR(VLOOKUP(L12,Punktar!$A:$B,2,0),""))</f>
        <v>2</v>
      </c>
      <c r="N12" s="212">
        <v>0.90972222222222221</v>
      </c>
      <c r="O12" s="22" t="s">
        <v>279</v>
      </c>
      <c r="P12" s="213" t="str">
        <f>IF(O12="","",IFERROR(VLOOKUP(O12,Punktar!$A:$B,2,0),""))</f>
        <v/>
      </c>
      <c r="Q12" s="212">
        <v>0.95833333333333337</v>
      </c>
      <c r="R12" s="22" t="s">
        <v>232</v>
      </c>
      <c r="S12" s="213" t="str">
        <f>IF(R12="","",IFERROR(VLOOKUP(R12,Punktar!$A:$B,2,0),""))</f>
        <v/>
      </c>
      <c r="T12" s="212">
        <v>0.90972222222222221</v>
      </c>
      <c r="U12" s="22" t="s">
        <v>185</v>
      </c>
      <c r="V12" s="213" t="str">
        <f>IF(U12="","",IFERROR(VLOOKUP(U12,Punktar!$A:$B,2,0),""))</f>
        <v/>
      </c>
      <c r="W12" s="61"/>
    </row>
    <row r="13" spans="1:23" x14ac:dyDescent="0.2">
      <c r="A13" s="228"/>
      <c r="B13" s="212">
        <v>0.88194444444444453</v>
      </c>
      <c r="C13" s="22" t="s">
        <v>180</v>
      </c>
      <c r="D13" s="213" t="str">
        <f>IF(C13="","",IFERROR(VLOOKUP(C13,Punktar!$A:$B,2,0),""))</f>
        <v/>
      </c>
      <c r="E13" s="212">
        <v>0.85763888888888884</v>
      </c>
      <c r="F13" s="22" t="s">
        <v>202</v>
      </c>
      <c r="G13" s="213">
        <f>IF(F13="","",IFERROR(VLOOKUP(F13,Punktar!$A:$B,2,0),""))</f>
        <v>3</v>
      </c>
      <c r="H13" s="212">
        <v>0.86805555555555547</v>
      </c>
      <c r="I13" s="22" t="s">
        <v>189</v>
      </c>
      <c r="J13" s="213">
        <f>IF(I13="","",IFERROR(VLOOKUP(I13,Punktar!$A:$B,2,0),""))</f>
        <v>2</v>
      </c>
      <c r="K13" s="212">
        <v>0.875</v>
      </c>
      <c r="L13" s="22" t="s">
        <v>190</v>
      </c>
      <c r="M13" s="213">
        <f>IF(L13="","",IFERROR(VLOOKUP(L13,Punktar!$A:$B,2,0),""))</f>
        <v>2</v>
      </c>
      <c r="N13" s="212">
        <v>0.97222222222222221</v>
      </c>
      <c r="O13" s="22" t="s">
        <v>229</v>
      </c>
      <c r="P13" s="213" t="str">
        <f>IF(O13="","",IFERROR(VLOOKUP(O13,Punktar!$A:$B,2,0),""))</f>
        <v/>
      </c>
      <c r="Q13" s="212" t="s">
        <v>182</v>
      </c>
      <c r="R13" s="22" t="s">
        <v>182</v>
      </c>
      <c r="S13" s="213" t="str">
        <f>IF(R13="","",IFERROR(VLOOKUP(R13,Punktar!$A:$B,2,0),""))</f>
        <v/>
      </c>
      <c r="T13" s="212">
        <v>0.94791666666666663</v>
      </c>
      <c r="U13" s="22" t="s">
        <v>270</v>
      </c>
      <c r="V13" s="213" t="str">
        <f>IF(U13="","",IFERROR(VLOOKUP(U13,Punktar!$A:$B,2,0),""))</f>
        <v/>
      </c>
      <c r="W13" s="61"/>
    </row>
    <row r="14" spans="1:23" x14ac:dyDescent="0.2">
      <c r="A14" s="228"/>
      <c r="B14" s="212">
        <v>0.92708333333333337</v>
      </c>
      <c r="C14" s="22" t="s">
        <v>210</v>
      </c>
      <c r="D14" s="213">
        <f>IF(C14="","",IFERROR(VLOOKUP(C14,Punktar!$A:$B,2,0),""))</f>
        <v>1</v>
      </c>
      <c r="E14" s="212">
        <v>0.89236111111111116</v>
      </c>
      <c r="F14" s="22" t="s">
        <v>187</v>
      </c>
      <c r="G14" s="213">
        <f>IF(F14="","",IFERROR(VLOOKUP(F14,Punktar!$A:$B,2,0),""))</f>
        <v>1</v>
      </c>
      <c r="H14" s="212">
        <v>0.88541666666666663</v>
      </c>
      <c r="I14" s="22" t="s">
        <v>222</v>
      </c>
      <c r="J14" s="213">
        <f>IF(I14="","",IFERROR(VLOOKUP(I14,Punktar!$A:$B,2,0),""))</f>
        <v>2</v>
      </c>
      <c r="K14" s="212">
        <v>0.90972222222222221</v>
      </c>
      <c r="L14" s="22" t="s">
        <v>172</v>
      </c>
      <c r="M14" s="213">
        <f>IF(L14="","",IFERROR(VLOOKUP(L14,Punktar!$A:$B,2,0),""))</f>
        <v>2</v>
      </c>
      <c r="N14" s="212"/>
      <c r="O14" s="22"/>
      <c r="P14" s="213" t="str">
        <f>IF(O14="","",IFERROR(VLOOKUP(O14,Punktar!$A:$B,2,0),""))</f>
        <v/>
      </c>
      <c r="Q14" s="212" t="s">
        <v>182</v>
      </c>
      <c r="R14" s="22" t="s">
        <v>182</v>
      </c>
      <c r="S14" s="213" t="str">
        <f>IF(R14="","",IFERROR(VLOOKUP(R14,Punktar!$A:$B,2,0),""))</f>
        <v/>
      </c>
      <c r="T14" s="212">
        <v>0.98611111111111116</v>
      </c>
      <c r="U14" s="22" t="s">
        <v>271</v>
      </c>
      <c r="V14" s="213" t="str">
        <f>IF(U14="","",IFERROR(VLOOKUP(U14,Punktar!$A:$B,2,0),""))</f>
        <v/>
      </c>
      <c r="W14" s="61"/>
    </row>
    <row r="15" spans="1:23" x14ac:dyDescent="0.2">
      <c r="A15" s="228"/>
      <c r="B15" s="212">
        <v>0.94444444444444453</v>
      </c>
      <c r="C15" s="22" t="s">
        <v>210</v>
      </c>
      <c r="D15" s="213">
        <f>IF(C15="","",IFERROR(VLOOKUP(C15,Punktar!$A:$B,2,0),""))</f>
        <v>1</v>
      </c>
      <c r="E15" s="212">
        <v>0.90625</v>
      </c>
      <c r="F15" s="22" t="s">
        <v>223</v>
      </c>
      <c r="G15" s="213" t="str">
        <f>IF(F15="","",IFERROR(VLOOKUP(F15,Punktar!$A:$B,2,0),""))</f>
        <v/>
      </c>
      <c r="H15" s="212">
        <v>0.90625</v>
      </c>
      <c r="I15" s="22" t="s">
        <v>184</v>
      </c>
      <c r="J15" s="213">
        <f>IF(I15="","",IFERROR(VLOOKUP(I15,Punktar!$A:$B,2,0),""))</f>
        <v>2</v>
      </c>
      <c r="K15" s="212">
        <v>0.94097222222222221</v>
      </c>
      <c r="L15" s="22" t="s">
        <v>210</v>
      </c>
      <c r="M15" s="213">
        <f>IF(L15="","",IFERROR(VLOOKUP(L15,Punktar!$A:$B,2,0),""))</f>
        <v>1</v>
      </c>
      <c r="N15" s="212" t="s">
        <v>182</v>
      </c>
      <c r="O15" s="22" t="s">
        <v>182</v>
      </c>
      <c r="P15" s="213" t="str">
        <f>IF(O15="","",IFERROR(VLOOKUP(O15,Punktar!$A:$B,2,0),""))</f>
        <v/>
      </c>
      <c r="Q15" s="212" t="s">
        <v>182</v>
      </c>
      <c r="R15" s="22" t="s">
        <v>182</v>
      </c>
      <c r="S15" s="213" t="str">
        <f>IF(R15="","",IFERROR(VLOOKUP(R15,Punktar!$A:$B,2,0),""))</f>
        <v/>
      </c>
      <c r="T15" s="212" t="s">
        <v>182</v>
      </c>
      <c r="U15" s="22" t="s">
        <v>182</v>
      </c>
      <c r="V15" s="213" t="str">
        <f>IF(U15="","",IFERROR(VLOOKUP(U15,Punktar!$A:$B,2,0),""))</f>
        <v/>
      </c>
      <c r="W15" s="61"/>
    </row>
    <row r="16" spans="1:23" x14ac:dyDescent="0.2">
      <c r="A16" s="228"/>
      <c r="B16" s="212">
        <v>0.96180555555555547</v>
      </c>
      <c r="C16" s="22" t="s">
        <v>254</v>
      </c>
      <c r="D16" s="213" t="str">
        <f>IF(C16="","",IFERROR(VLOOKUP(C16,Punktar!$A:$B,2,0),""))</f>
        <v/>
      </c>
      <c r="E16" s="212">
        <v>0.92361111111111116</v>
      </c>
      <c r="F16" s="22" t="s">
        <v>210</v>
      </c>
      <c r="G16" s="213">
        <f>IF(F16="","",IFERROR(VLOOKUP(F16,Punktar!$A:$B,2,0),""))</f>
        <v>1</v>
      </c>
      <c r="H16" s="212">
        <v>0.92708333333333337</v>
      </c>
      <c r="I16" s="22" t="s">
        <v>210</v>
      </c>
      <c r="J16" s="213">
        <f>IF(I16="","",IFERROR(VLOOKUP(I16,Punktar!$A:$B,2,0),""))</f>
        <v>1</v>
      </c>
      <c r="K16" s="212">
        <v>0.95833333333333337</v>
      </c>
      <c r="L16" s="22" t="s">
        <v>210</v>
      </c>
      <c r="M16" s="213">
        <f>IF(L16="","",IFERROR(VLOOKUP(L16,Punktar!$A:$B,2,0),""))</f>
        <v>1</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61"/>
    </row>
    <row r="17" spans="1:23" x14ac:dyDescent="0.2">
      <c r="A17" s="228"/>
      <c r="B17" s="212">
        <v>0.99652777777777779</v>
      </c>
      <c r="C17" s="22" t="s">
        <v>255</v>
      </c>
      <c r="D17" s="213" t="str">
        <f>IF(C17="","",IFERROR(VLOOKUP(C17,Punktar!$A:$B,2,0),""))</f>
        <v/>
      </c>
      <c r="E17" s="212">
        <v>0.94097222222222221</v>
      </c>
      <c r="F17" s="22" t="s">
        <v>210</v>
      </c>
      <c r="G17" s="213">
        <f>IF(F17="","",IFERROR(VLOOKUP(F17,Punktar!$A:$B,2,0),""))</f>
        <v>1</v>
      </c>
      <c r="H17" s="212">
        <v>0.94444444444444453</v>
      </c>
      <c r="I17" s="22" t="s">
        <v>210</v>
      </c>
      <c r="J17" s="213">
        <f>IF(I17="","",IFERROR(VLOOKUP(I17,Punktar!$A:$B,2,0),""))</f>
        <v>1</v>
      </c>
      <c r="K17" s="212" t="s">
        <v>182</v>
      </c>
      <c r="L17" s="22" t="s">
        <v>182</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t="s">
        <v>182</v>
      </c>
      <c r="C18" s="22" t="s">
        <v>182</v>
      </c>
      <c r="D18" s="213" t="str">
        <f>IF(C18="","",IFERROR(VLOOKUP(C18,Punktar!$A:$B,2,0),""))</f>
        <v/>
      </c>
      <c r="E18" s="212">
        <v>0.98611111111111116</v>
      </c>
      <c r="F18" s="22" t="s">
        <v>261</v>
      </c>
      <c r="G18" s="213" t="str">
        <f>IF(F18="","",IFERROR(VLOOKUP(F18,Punktar!$A:$B,2,0),""))</f>
        <v/>
      </c>
      <c r="H18" s="212">
        <v>0.96180555555555547</v>
      </c>
      <c r="I18" s="22" t="s">
        <v>265</v>
      </c>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t="s">
        <v>182</v>
      </c>
      <c r="C19" s="22" t="s">
        <v>182</v>
      </c>
      <c r="D19" s="213" t="str">
        <f>IF(C19="","",IFERROR(VLOOKUP(C19,Punktar!$A:$B,2,0),""))</f>
        <v/>
      </c>
      <c r="E19" s="212" t="s">
        <v>182</v>
      </c>
      <c r="F19" s="22" t="s">
        <v>182</v>
      </c>
      <c r="G19" s="213" t="str">
        <f>IF(F19="","",IFERROR(VLOOKUP(F19,Punktar!$A:$B,2,0),""))</f>
        <v/>
      </c>
      <c r="H19" s="212">
        <v>0.99305555555555547</v>
      </c>
      <c r="I19" s="22" t="s">
        <v>283</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t="s">
        <v>182</v>
      </c>
      <c r="F20" s="215" t="s">
        <v>182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6" priority="1" operator="containsText" text=" YYY">
      <formula>NOT(ISERROR(SEARCH(" YYY",B5)))</formula>
    </cfRule>
  </conditionalFormatting>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70"/>
  <sheetViews>
    <sheetView showGridLines="0" showRowColHeaders="0" tabSelected="1" workbookViewId="0">
      <pane xSplit="1" ySplit="4" topLeftCell="B5" activePane="bottomRight" state="frozen"/>
      <selection activeCell="O17" sqref="O17"/>
      <selection pane="topRight" activeCell="O17" sqref="O17"/>
      <selection pane="bottomLeft" activeCell="O17" sqref="O17"/>
      <selection pane="bottomRight" activeCell="B4" sqref="B4:C4"/>
    </sheetView>
  </sheetViews>
  <sheetFormatPr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Október 2023 | Vika 41</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40'!T4+1</f>
        <v>45208</v>
      </c>
      <c r="C4" s="226"/>
      <c r="D4" s="218" t="s">
        <v>44</v>
      </c>
      <c r="E4" s="232">
        <f>B4+1</f>
        <v>45209</v>
      </c>
      <c r="F4" s="226"/>
      <c r="G4" s="219" t="s">
        <v>44</v>
      </c>
      <c r="H4" s="226">
        <f>E4+1</f>
        <v>45210</v>
      </c>
      <c r="I4" s="226"/>
      <c r="J4" s="218" t="s">
        <v>44</v>
      </c>
      <c r="K4" s="232">
        <f>H4+1</f>
        <v>45211</v>
      </c>
      <c r="L4" s="226"/>
      <c r="M4" s="219" t="s">
        <v>44</v>
      </c>
      <c r="N4" s="226">
        <f>K4+1</f>
        <v>45212</v>
      </c>
      <c r="O4" s="226"/>
      <c r="P4" s="218" t="s">
        <v>44</v>
      </c>
      <c r="Q4" s="232">
        <f>N4+1</f>
        <v>45213</v>
      </c>
      <c r="R4" s="226"/>
      <c r="S4" s="219" t="s">
        <v>44</v>
      </c>
      <c r="T4" s="226">
        <f>Q4+1</f>
        <v>45214</v>
      </c>
      <c r="U4" s="226"/>
      <c r="V4" s="219" t="s">
        <v>44</v>
      </c>
      <c r="W4" s="61"/>
    </row>
    <row r="5" spans="1:23" ht="11.25" customHeight="1" x14ac:dyDescent="0.2">
      <c r="A5" s="227" t="s">
        <v>12</v>
      </c>
      <c r="B5" s="209">
        <v>0.73263888888888884</v>
      </c>
      <c r="C5" s="210" t="s">
        <v>35</v>
      </c>
      <c r="D5" s="211">
        <f>IF(C5="","",IFERROR(VLOOKUP(C5,Punktar!$A:$B,2,0),""))</f>
        <v>1</v>
      </c>
      <c r="E5" s="209">
        <v>0.73263888888888884</v>
      </c>
      <c r="F5" s="210" t="s">
        <v>35</v>
      </c>
      <c r="G5" s="211">
        <f>IF(F5="","",IFERROR(VLOOKUP(F5,Punktar!$A:$B,2,0),""))</f>
        <v>1</v>
      </c>
      <c r="H5" s="209">
        <v>0.73263888888888884</v>
      </c>
      <c r="I5" s="210" t="s">
        <v>35</v>
      </c>
      <c r="J5" s="211">
        <f>IF(I5="","",IFERROR(VLOOKUP(I5,Punktar!$A:$B,2,0),""))</f>
        <v>1</v>
      </c>
      <c r="K5" s="209">
        <v>0.73263888888888884</v>
      </c>
      <c r="L5" s="210" t="s">
        <v>35</v>
      </c>
      <c r="M5" s="211">
        <f>IF(L5="","",IFERROR(VLOOKUP(L5,Punktar!$A:$B,2,0),""))</f>
        <v>1</v>
      </c>
      <c r="N5" s="209">
        <v>0.74652777777777779</v>
      </c>
      <c r="O5" s="210" t="s">
        <v>35</v>
      </c>
      <c r="P5" s="211">
        <f>IF(O5="","",IFERROR(VLOOKUP(O5,Punktar!$A:$B,2,0),""))</f>
        <v>1</v>
      </c>
      <c r="Q5" s="209">
        <v>0.76736111111111116</v>
      </c>
      <c r="R5" s="210" t="s">
        <v>152</v>
      </c>
      <c r="S5" s="211">
        <f>IF(R5="","",IFERROR(VLOOKUP(R5,Punktar!$A:$B,2,0),""))</f>
        <v>3</v>
      </c>
      <c r="T5" s="209">
        <v>0.73263888888888884</v>
      </c>
      <c r="U5" s="210" t="s">
        <v>98</v>
      </c>
      <c r="V5" s="211">
        <f>IF(U5="","",IFERROR(VLOOKUP(U5,Punktar!$A:$B,2,0),""))</f>
        <v>1</v>
      </c>
      <c r="W5" s="61"/>
    </row>
    <row r="6" spans="1:23" x14ac:dyDescent="0.2">
      <c r="A6" s="228"/>
      <c r="B6" s="212">
        <v>0.74652777777777779</v>
      </c>
      <c r="C6" s="22" t="s">
        <v>277</v>
      </c>
      <c r="D6" s="213">
        <f>IF(C6="","",IFERROR(VLOOKUP(C6,Punktar!$A:$B,2,0),""))</f>
        <v>2</v>
      </c>
      <c r="E6" s="212">
        <v>0.75</v>
      </c>
      <c r="F6" s="22" t="s">
        <v>277</v>
      </c>
      <c r="G6" s="213">
        <f>IF(F6="","",IFERROR(VLOOKUP(F6,Punktar!$A:$B,2,0),""))</f>
        <v>2</v>
      </c>
      <c r="H6" s="212">
        <v>0.74652777777777779</v>
      </c>
      <c r="I6" s="22" t="s">
        <v>277</v>
      </c>
      <c r="J6" s="213">
        <f>IF(I6="","",IFERROR(VLOOKUP(I6,Punktar!$A:$B,2,0),""))</f>
        <v>2</v>
      </c>
      <c r="K6" s="212">
        <v>0.75</v>
      </c>
      <c r="L6" s="22" t="s">
        <v>277</v>
      </c>
      <c r="M6" s="213">
        <f>IF(L6="","",IFERROR(VLOOKUP(L6,Punktar!$A:$B,2,0),""))</f>
        <v>2</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0.76736111111111116</v>
      </c>
      <c r="C7" s="22" t="s">
        <v>152</v>
      </c>
      <c r="D7" s="213">
        <f>IF(C7="","",IFERROR(VLOOKUP(C7,Punktar!$A:$B,2,0),""))</f>
        <v>3</v>
      </c>
      <c r="E7" s="212">
        <v>0.76736111111111116</v>
      </c>
      <c r="F7" s="22" t="s">
        <v>152</v>
      </c>
      <c r="G7" s="213">
        <f>IF(F7="","",IFERROR(VLOOKUP(F7,Punktar!$A:$B,2,0),""))</f>
        <v>3</v>
      </c>
      <c r="H7" s="212">
        <v>0.76736111111111116</v>
      </c>
      <c r="I7" s="22" t="s">
        <v>152</v>
      </c>
      <c r="J7" s="213">
        <f>IF(I7="","",IFERROR(VLOOKUP(I7,Punktar!$A:$B,2,0),""))</f>
        <v>3</v>
      </c>
      <c r="K7" s="212">
        <v>0.76736111111111116</v>
      </c>
      <c r="L7" s="22" t="s">
        <v>152</v>
      </c>
      <c r="M7" s="213">
        <f>IF(L7="","",IFERROR(VLOOKUP(L7,Punktar!$A:$B,2,0),""))</f>
        <v>3</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0.77083333333333337</v>
      </c>
      <c r="C8" s="22" t="s">
        <v>37</v>
      </c>
      <c r="D8" s="213">
        <f>IF(C8="","",IFERROR(VLOOKUP(C8,Punktar!$A:$B,2,0),""))</f>
        <v>8</v>
      </c>
      <c r="E8" s="212">
        <v>0.77083333333333337</v>
      </c>
      <c r="F8" s="22" t="s">
        <v>37</v>
      </c>
      <c r="G8" s="213">
        <f>IF(F8="","",IFERROR(VLOOKUP(F8,Punktar!$A:$B,2,0),""))</f>
        <v>8</v>
      </c>
      <c r="H8" s="212">
        <v>0.77083333333333337</v>
      </c>
      <c r="I8" s="22" t="s">
        <v>37</v>
      </c>
      <c r="J8" s="213">
        <f>IF(I8="","",IFERROR(VLOOKUP(I8,Punktar!$A:$B,2,0),""))</f>
        <v>8</v>
      </c>
      <c r="K8" s="212">
        <v>0.77083333333333337</v>
      </c>
      <c r="L8" s="22" t="s">
        <v>37</v>
      </c>
      <c r="M8" s="213">
        <f>IF(L8="","",IFERROR(VLOOKUP(L8,Punktar!$A:$B,2,0),""))</f>
        <v>8</v>
      </c>
      <c r="N8" s="212">
        <v>0.78472222222222221</v>
      </c>
      <c r="O8" s="22" t="s">
        <v>36</v>
      </c>
      <c r="P8" s="213">
        <f>IF(O8="","",IFERROR(VLOOKUP(O8,Punktar!$A:$B,2,0),""))</f>
        <v>6</v>
      </c>
      <c r="Q8" s="212">
        <v>0.78819444444444453</v>
      </c>
      <c r="R8" s="22" t="s">
        <v>212</v>
      </c>
      <c r="S8" s="213">
        <f>IF(R8="","",IFERROR(VLOOKUP(R8,Punktar!$A:$B,2,0),""))</f>
        <v>5</v>
      </c>
      <c r="T8" s="212">
        <v>0.78472222222222221</v>
      </c>
      <c r="U8" s="22" t="s">
        <v>36</v>
      </c>
      <c r="V8" s="213">
        <f>IF(U8="","",IFERROR(VLOOKUP(U8,Punktar!$A:$B,2,0),""))</f>
        <v>6</v>
      </c>
      <c r="W8" s="61"/>
    </row>
    <row r="9" spans="1:23" x14ac:dyDescent="0.2">
      <c r="A9" s="228"/>
      <c r="B9" s="212">
        <v>0.78472222222222221</v>
      </c>
      <c r="C9" s="22" t="s">
        <v>36</v>
      </c>
      <c r="D9" s="213">
        <f>IF(C9="","",IFERROR(VLOOKUP(C9,Punktar!$A:$B,2,0),""))</f>
        <v>6</v>
      </c>
      <c r="E9" s="212">
        <v>0.78472222222222221</v>
      </c>
      <c r="F9" s="22" t="s">
        <v>36</v>
      </c>
      <c r="G9" s="213">
        <f>IF(F9="","",IFERROR(VLOOKUP(F9,Punktar!$A:$B,2,0),""))</f>
        <v>6</v>
      </c>
      <c r="H9" s="212">
        <v>0.78472222222222221</v>
      </c>
      <c r="I9" s="22" t="s">
        <v>36</v>
      </c>
      <c r="J9" s="213">
        <f>IF(I9="","",IFERROR(VLOOKUP(I9,Punktar!$A:$B,2,0),""))</f>
        <v>6</v>
      </c>
      <c r="K9" s="212">
        <v>0.78472222222222221</v>
      </c>
      <c r="L9" s="22" t="s">
        <v>36</v>
      </c>
      <c r="M9" s="213">
        <f>IF(L9="","",IFERROR(VLOOKUP(L9,Punktar!$A:$B,2,0),""))</f>
        <v>6</v>
      </c>
      <c r="N9" s="212">
        <v>0.78819444444444453</v>
      </c>
      <c r="O9" s="22" t="s">
        <v>216</v>
      </c>
      <c r="P9" s="213">
        <f>IF(O9="","",IFERROR(VLOOKUP(O9,Punktar!$A:$B,2,0),""))</f>
        <v>3</v>
      </c>
      <c r="Q9" s="212"/>
      <c r="R9" s="22" t="s">
        <v>253</v>
      </c>
      <c r="S9" s="213">
        <f>IF(R9="","",IFERROR(VLOOKUP(R9,Punktar!$A:$B,2,0),""))</f>
        <v>6</v>
      </c>
      <c r="T9" s="212">
        <v>0.79166666666666663</v>
      </c>
      <c r="U9" s="22" t="s">
        <v>233</v>
      </c>
      <c r="V9" s="213">
        <f>IF(U9="","",IFERROR(VLOOKUP(U9,Punktar!$A:$B,2,0),""))</f>
        <v>5</v>
      </c>
      <c r="W9" s="61"/>
    </row>
    <row r="10" spans="1:23" x14ac:dyDescent="0.2">
      <c r="A10" s="228"/>
      <c r="B10" s="212">
        <v>0.78819444444444453</v>
      </c>
      <c r="C10" s="22" t="s">
        <v>148</v>
      </c>
      <c r="D10" s="213" t="str">
        <f>IF(C10="","",IFERROR(VLOOKUP(C10,Punktar!$A:$B,2,0),""))</f>
        <v>-</v>
      </c>
      <c r="E10" s="212">
        <v>0.78819444444444453</v>
      </c>
      <c r="F10" s="22" t="s">
        <v>304</v>
      </c>
      <c r="G10" s="213" t="str">
        <f>IF(F10="","",IFERROR(VLOOKUP(F10,Punktar!$A:$B,2,0),""))</f>
        <v>-</v>
      </c>
      <c r="H10" s="212">
        <v>0.78819444444444453</v>
      </c>
      <c r="I10" s="22" t="s">
        <v>148</v>
      </c>
      <c r="J10" s="213" t="str">
        <f>IF(I10="","",IFERROR(VLOOKUP(I10,Punktar!$A:$B,2,0),""))</f>
        <v>-</v>
      </c>
      <c r="K10" s="212">
        <v>0.78819444444444453</v>
      </c>
      <c r="L10" s="22" t="s">
        <v>148</v>
      </c>
      <c r="M10" s="213" t="str">
        <f>IF(L10="","",IFERROR(VLOOKUP(L10,Punktar!$A:$B,2,0),""))</f>
        <v>-</v>
      </c>
      <c r="N10" s="212">
        <v>0.8125</v>
      </c>
      <c r="O10" s="22" t="s">
        <v>218</v>
      </c>
      <c r="P10" s="213">
        <f>IF(O10="","",IFERROR(VLOOKUP(O10,Punktar!$A:$B,2,0),""))</f>
        <v>2</v>
      </c>
      <c r="Q10" s="212">
        <v>0.82638888888888884</v>
      </c>
      <c r="R10" s="22" t="s">
        <v>307</v>
      </c>
      <c r="S10" s="213">
        <f>IF(R10="","",IFERROR(VLOOKUP(R10,Punktar!$A:$B,2,0),""))</f>
        <v>3</v>
      </c>
      <c r="T10" s="212">
        <v>0.82291666666666663</v>
      </c>
      <c r="U10" s="22" t="s">
        <v>234</v>
      </c>
      <c r="V10" s="213">
        <f>IF(U10="","",IFERROR(VLOOKUP(U10,Punktar!$A:$B,2,0),""))</f>
        <v>2</v>
      </c>
      <c r="W10" s="61"/>
    </row>
    <row r="11" spans="1:23" x14ac:dyDescent="0.2">
      <c r="A11" s="228"/>
      <c r="B11" s="212">
        <v>0.79861111111111116</v>
      </c>
      <c r="C11" s="22" t="s">
        <v>225</v>
      </c>
      <c r="D11" s="213">
        <f>IF(C11="","",IFERROR(VLOOKUP(C11,Punktar!$A:$B,2,0),""))</f>
        <v>4</v>
      </c>
      <c r="E11" s="212">
        <v>0.81944444444444453</v>
      </c>
      <c r="F11" s="22" t="s">
        <v>305</v>
      </c>
      <c r="G11" s="213">
        <f>IF(F11="","",IFERROR(VLOOKUP(F11,Punktar!$A:$B,2,0),""))</f>
        <v>2</v>
      </c>
      <c r="H11" s="212">
        <v>0.79861111111111116</v>
      </c>
      <c r="I11" s="22" t="s">
        <v>213</v>
      </c>
      <c r="J11" s="213">
        <f>IF(I11="","",IFERROR(VLOOKUP(I11,Punktar!$A:$B,2,0),""))</f>
        <v>2</v>
      </c>
      <c r="K11" s="212">
        <v>0.79861111111111116</v>
      </c>
      <c r="L11" s="22" t="s">
        <v>203</v>
      </c>
      <c r="M11" s="213">
        <f>IF(L11="","",IFERROR(VLOOKUP(L11,Punktar!$A:$B,2,0),""))</f>
        <v>2</v>
      </c>
      <c r="N11" s="212">
        <v>0.84375</v>
      </c>
      <c r="O11" s="22" t="s">
        <v>237</v>
      </c>
      <c r="P11" s="213">
        <f>IF(O11="","",IFERROR(VLOOKUP(O11,Punktar!$A:$B,2,0),""))</f>
        <v>2</v>
      </c>
      <c r="Q11" s="212">
        <v>0.86111111111111116</v>
      </c>
      <c r="R11" s="22" t="s">
        <v>244</v>
      </c>
      <c r="S11" s="213">
        <f>IF(R11="","",IFERROR(VLOOKUP(R11,Punktar!$A:$B,2,0),""))</f>
        <v>2</v>
      </c>
      <c r="T11" s="212">
        <v>0.88194444444444453</v>
      </c>
      <c r="U11" s="22" t="s">
        <v>219</v>
      </c>
      <c r="V11" s="213">
        <f>IF(U11="","",IFERROR(VLOOKUP(U11,Punktar!$A:$B,2,0),""))</f>
        <v>1</v>
      </c>
      <c r="W11" s="61"/>
    </row>
    <row r="12" spans="1:23" x14ac:dyDescent="0.2">
      <c r="A12" s="228"/>
      <c r="B12" s="212">
        <v>0.81597222222222221</v>
      </c>
      <c r="C12" s="22" t="s">
        <v>214</v>
      </c>
      <c r="D12" s="213">
        <f>IF(C12="","",IFERROR(VLOOKUP(C12,Punktar!$A:$B,2,0),""))</f>
        <v>2</v>
      </c>
      <c r="E12" s="212">
        <v>0.82986111111111116</v>
      </c>
      <c r="F12" s="22" t="s">
        <v>227</v>
      </c>
      <c r="G12" s="213">
        <f>IF(F12="","",IFERROR(VLOOKUP(F12,Punktar!$A:$B,2,0),""))</f>
        <v>3</v>
      </c>
      <c r="H12" s="212">
        <v>0.81597222222222221</v>
      </c>
      <c r="I12" s="22" t="s">
        <v>195</v>
      </c>
      <c r="J12" s="213">
        <f>IF(I12="","",IFERROR(VLOOKUP(I12,Punktar!$A:$B,2,0),""))</f>
        <v>2</v>
      </c>
      <c r="K12" s="212">
        <v>0.82986111111111116</v>
      </c>
      <c r="L12" s="22" t="s">
        <v>278</v>
      </c>
      <c r="M12" s="213">
        <f>IF(L12="","",IFERROR(VLOOKUP(L12,Punktar!$A:$B,2,0),""))</f>
        <v>2</v>
      </c>
      <c r="N12" s="212">
        <v>0.90972222222222221</v>
      </c>
      <c r="O12" s="22" t="s">
        <v>236</v>
      </c>
      <c r="P12" s="213">
        <f>IF(O12="","",IFERROR(VLOOKUP(O12,Punktar!$A:$B,2,0),""))</f>
        <v>2</v>
      </c>
      <c r="Q12" s="212">
        <v>0.92013888888888884</v>
      </c>
      <c r="R12" s="22" t="s">
        <v>239</v>
      </c>
      <c r="S12" s="213">
        <f>IF(R12="","",IFERROR(VLOOKUP(R12,Punktar!$A:$B,2,0),""))</f>
        <v>2</v>
      </c>
      <c r="T12" s="212">
        <v>0.89930555555555547</v>
      </c>
      <c r="U12" s="22" t="s">
        <v>240</v>
      </c>
      <c r="V12" s="213">
        <f>IF(U12="","",IFERROR(VLOOKUP(U12,Punktar!$A:$B,2,0),""))</f>
        <v>2</v>
      </c>
      <c r="W12" s="61"/>
    </row>
    <row r="13" spans="1:23" x14ac:dyDescent="0.2">
      <c r="A13" s="228"/>
      <c r="B13" s="212">
        <v>0.85069444444444453</v>
      </c>
      <c r="C13" s="22" t="s">
        <v>226</v>
      </c>
      <c r="D13" s="213">
        <f>IF(C13="","",IFERROR(VLOOKUP(C13,Punktar!$A:$B,2,0),""))</f>
        <v>2</v>
      </c>
      <c r="E13" s="212">
        <v>0.85763888888888884</v>
      </c>
      <c r="F13" s="22" t="s">
        <v>186</v>
      </c>
      <c r="G13" s="213">
        <f>IF(F13="","",IFERROR(VLOOKUP(F13,Punktar!$A:$B,2,0),""))</f>
        <v>2</v>
      </c>
      <c r="H13" s="212">
        <v>0.85069444444444453</v>
      </c>
      <c r="I13" s="22" t="s">
        <v>189</v>
      </c>
      <c r="J13" s="213">
        <f>IF(I13="","",IFERROR(VLOOKUP(I13,Punktar!$A:$B,2,0),""))</f>
        <v>2</v>
      </c>
      <c r="K13" s="212">
        <v>0.86805555555555547</v>
      </c>
      <c r="L13" s="22" t="s">
        <v>190</v>
      </c>
      <c r="M13" s="213">
        <f>IF(L13="","",IFERROR(VLOOKUP(L13,Punktar!$A:$B,2,0),""))</f>
        <v>2</v>
      </c>
      <c r="N13" s="212">
        <v>0.98263888888888884</v>
      </c>
      <c r="O13" s="22" t="s">
        <v>306</v>
      </c>
      <c r="P13" s="213">
        <f>IF(O13="","",IFERROR(VLOOKUP(O13,Punktar!$A:$B,2,0),""))</f>
        <v>2</v>
      </c>
      <c r="Q13" s="212">
        <v>0.99652777777777779</v>
      </c>
      <c r="R13" s="22" t="s">
        <v>233</v>
      </c>
      <c r="S13" s="213">
        <f>IF(R13="","",IFERROR(VLOOKUP(R13,Punktar!$A:$B,2,0),""))</f>
        <v>5</v>
      </c>
      <c r="T13" s="212">
        <v>0.93402777777777779</v>
      </c>
      <c r="U13" s="22" t="s">
        <v>270</v>
      </c>
      <c r="V13" s="213" t="str">
        <f>IF(U13="","",IFERROR(VLOOKUP(U13,Punktar!$A:$B,2,0),""))</f>
        <v/>
      </c>
      <c r="W13" s="61"/>
    </row>
    <row r="14" spans="1:23" x14ac:dyDescent="0.2">
      <c r="A14" s="228"/>
      <c r="B14" s="212">
        <v>0.86805555555555547</v>
      </c>
      <c r="C14" s="22" t="s">
        <v>235</v>
      </c>
      <c r="D14" s="213">
        <f>IF(C14="","",IFERROR(VLOOKUP(C14,Punktar!$A:$B,2,0),""))</f>
        <v>2</v>
      </c>
      <c r="E14" s="212">
        <v>0.88888888888888884</v>
      </c>
      <c r="F14" s="22" t="s">
        <v>202</v>
      </c>
      <c r="G14" s="213">
        <f>IF(F14="","",IFERROR(VLOOKUP(F14,Punktar!$A:$B,2,0),""))</f>
        <v>3</v>
      </c>
      <c r="H14" s="212">
        <v>0.86458333333333337</v>
      </c>
      <c r="I14" s="22" t="s">
        <v>184</v>
      </c>
      <c r="J14" s="213">
        <f>IF(I14="","",IFERROR(VLOOKUP(I14,Punktar!$A:$B,2,0),""))</f>
        <v>2</v>
      </c>
      <c r="K14" s="212">
        <v>0.89930555555555547</v>
      </c>
      <c r="L14" s="22" t="s">
        <v>172</v>
      </c>
      <c r="M14" s="213">
        <f>IF(L14="","",IFERROR(VLOOKUP(L14,Punktar!$A:$B,2,0),""))</f>
        <v>2</v>
      </c>
      <c r="N14" s="212" t="s">
        <v>182</v>
      </c>
      <c r="O14" s="22" t="s">
        <v>182</v>
      </c>
      <c r="P14" s="213" t="str">
        <f>IF(O14="","",IFERROR(VLOOKUP(O14,Punktar!$A:$B,2,0),""))</f>
        <v/>
      </c>
      <c r="Q14" s="212" t="s">
        <v>182</v>
      </c>
      <c r="R14" s="22" t="s">
        <v>182</v>
      </c>
      <c r="S14" s="213" t="str">
        <f>IF(R14="","",IFERROR(VLOOKUP(R14,Punktar!$A:$B,2,0),""))</f>
        <v/>
      </c>
      <c r="T14" s="212">
        <v>0.96875</v>
      </c>
      <c r="U14" s="22" t="s">
        <v>271</v>
      </c>
      <c r="V14" s="213" t="str">
        <f>IF(U14="","",IFERROR(VLOOKUP(U14,Punktar!$A:$B,2,0),""))</f>
        <v/>
      </c>
      <c r="W14" s="61"/>
    </row>
    <row r="15" spans="1:23" x14ac:dyDescent="0.2">
      <c r="A15" s="228"/>
      <c r="B15" s="212">
        <v>0.88888888888888884</v>
      </c>
      <c r="C15" s="22" t="s">
        <v>210</v>
      </c>
      <c r="D15" s="213">
        <f>IF(C15="","",IFERROR(VLOOKUP(C15,Punktar!$A:$B,2,0),""))</f>
        <v>1</v>
      </c>
      <c r="E15" s="212">
        <v>0.92361111111111116</v>
      </c>
      <c r="F15" s="22" t="s">
        <v>187</v>
      </c>
      <c r="G15" s="213">
        <f>IF(F15="","",IFERROR(VLOOKUP(F15,Punktar!$A:$B,2,0),""))</f>
        <v>1</v>
      </c>
      <c r="H15" s="212">
        <v>0.88888888888888884</v>
      </c>
      <c r="I15" s="22" t="s">
        <v>222</v>
      </c>
      <c r="J15" s="213">
        <f>IF(I15="","",IFERROR(VLOOKUP(I15,Punktar!$A:$B,2,0),""))</f>
        <v>2</v>
      </c>
      <c r="K15" s="212">
        <v>0.93055555555555547</v>
      </c>
      <c r="L15" s="22" t="s">
        <v>321</v>
      </c>
      <c r="M15" s="213" t="str">
        <f>IF(L15="","",IFERROR(VLOOKUP(L15,Punktar!$A:$B,2,0),""))</f>
        <v/>
      </c>
      <c r="N15" s="212" t="s">
        <v>182</v>
      </c>
      <c r="O15" s="22" t="s">
        <v>182</v>
      </c>
      <c r="P15" s="213" t="str">
        <f>IF(O15="","",IFERROR(VLOOKUP(O15,Punktar!$A:$B,2,0),""))</f>
        <v/>
      </c>
      <c r="Q15" s="212" t="s">
        <v>182</v>
      </c>
      <c r="R15" s="22" t="s">
        <v>182</v>
      </c>
      <c r="S15" s="213" t="str">
        <f>IF(R15="","",IFERROR(VLOOKUP(R15,Punktar!$A:$B,2,0),""))</f>
        <v/>
      </c>
      <c r="T15" s="212">
        <v>0.98263888888888884</v>
      </c>
      <c r="U15" s="22" t="s">
        <v>272</v>
      </c>
      <c r="V15" s="213" t="str">
        <f>IF(U15="","",IFERROR(VLOOKUP(U15,Punktar!$A:$B,2,0),""))</f>
        <v/>
      </c>
      <c r="W15" s="61"/>
    </row>
    <row r="16" spans="1:23" x14ac:dyDescent="0.2">
      <c r="A16" s="228"/>
      <c r="B16" s="212">
        <v>0.90625</v>
      </c>
      <c r="C16" s="22" t="s">
        <v>210</v>
      </c>
      <c r="D16" s="213">
        <f>IF(C16="","",IFERROR(VLOOKUP(C16,Punktar!$A:$B,2,0),""))</f>
        <v>1</v>
      </c>
      <c r="E16" s="212">
        <v>0.9375</v>
      </c>
      <c r="F16" s="22" t="s">
        <v>210</v>
      </c>
      <c r="G16" s="213">
        <f>IF(F16="","",IFERROR(VLOOKUP(F16,Punktar!$A:$B,2,0),""))</f>
        <v>1</v>
      </c>
      <c r="H16" s="212">
        <v>0.90625</v>
      </c>
      <c r="I16" s="22" t="s">
        <v>210</v>
      </c>
      <c r="J16" s="213">
        <f>IF(I16="","",IFERROR(VLOOKUP(I16,Punktar!$A:$B,2,0),""))</f>
        <v>1</v>
      </c>
      <c r="K16" s="212">
        <v>0.95833333333333337</v>
      </c>
      <c r="L16" s="22" t="s">
        <v>322</v>
      </c>
      <c r="M16" s="213" t="str">
        <f>IF(L16="","",IFERROR(VLOOKUP(L16,Punktar!$A:$B,2,0),""))</f>
        <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61"/>
    </row>
    <row r="17" spans="1:23" x14ac:dyDescent="0.2">
      <c r="A17" s="228"/>
      <c r="B17" s="212">
        <v>0.92013888888888884</v>
      </c>
      <c r="C17" s="22" t="s">
        <v>255</v>
      </c>
      <c r="D17" s="213" t="str">
        <f>IF(C17="","",IFERROR(VLOOKUP(C17,Punktar!$A:$B,2,0),""))</f>
        <v/>
      </c>
      <c r="E17" s="212">
        <v>0.95138888888888884</v>
      </c>
      <c r="F17" s="22" t="s">
        <v>210</v>
      </c>
      <c r="G17" s="213">
        <f>IF(F17="","",IFERROR(VLOOKUP(F17,Punktar!$A:$B,2,0),""))</f>
        <v>1</v>
      </c>
      <c r="H17" s="212">
        <v>0.92013888888888884</v>
      </c>
      <c r="I17" s="22" t="s">
        <v>210</v>
      </c>
      <c r="J17" s="213">
        <f>IF(I17="","",IFERROR(VLOOKUP(I17,Punktar!$A:$B,2,0),""))</f>
        <v>1</v>
      </c>
      <c r="K17" s="212">
        <v>0.98958333333333337</v>
      </c>
      <c r="L17" s="22" t="s">
        <v>210</v>
      </c>
      <c r="M17" s="213">
        <f>IF(L17="","",IFERROR(VLOOKUP(L17,Punktar!$A:$B,2,0),""))</f>
        <v>1</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v>0.95138888888888884</v>
      </c>
      <c r="C18" s="22" t="s">
        <v>284</v>
      </c>
      <c r="D18" s="213" t="str">
        <f>IF(C18="","",IFERROR(VLOOKUP(C18,Punktar!$A:$B,2,0),""))</f>
        <v/>
      </c>
      <c r="E18" s="212">
        <v>0.96875</v>
      </c>
      <c r="F18" s="22" t="s">
        <v>260</v>
      </c>
      <c r="G18" s="213" t="str">
        <f>IF(F18="","",IFERROR(VLOOKUP(F18,Punktar!$A:$B,2,0),""))</f>
        <v/>
      </c>
      <c r="H18" s="212">
        <v>0.9375</v>
      </c>
      <c r="I18" s="22" t="s">
        <v>285</v>
      </c>
      <c r="J18" s="213" t="str">
        <f>IF(I18="","",IFERROR(VLOOKUP(I18,Punktar!$A:$B,2,0),""))</f>
        <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v>0.98611111111111116</v>
      </c>
      <c r="C19" s="22" t="s">
        <v>320</v>
      </c>
      <c r="D19" s="213" t="str">
        <f>IF(C19="","",IFERROR(VLOOKUP(C19,Punktar!$A:$B,2,0),""))</f>
        <v/>
      </c>
      <c r="E19" s="212">
        <v>0.98958333333333337</v>
      </c>
      <c r="F19" s="22" t="s">
        <v>257</v>
      </c>
      <c r="G19" s="213" t="str">
        <f>IF(F19="","",IFERROR(VLOOKUP(F19,Punktar!$A:$B,2,0),""))</f>
        <v/>
      </c>
      <c r="H19" s="212">
        <v>0.96875</v>
      </c>
      <c r="I19" s="22" t="s">
        <v>265</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t="s">
        <v>182</v>
      </c>
      <c r="F20" s="215" t="s">
        <v>182</v>
      </c>
      <c r="G20" s="216" t="str">
        <f>IF(F20="","",IFERROR(VLOOKUP(F20,Punktar!$A:$B,2,0),""))</f>
        <v/>
      </c>
      <c r="H20" s="214"/>
      <c r="I20" s="215"/>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5" priority="1" operator="containsText" text=" YYY">
      <formula>NOT(ISERROR(SEARCH(" YYY",B5)))</formula>
    </cfRule>
  </conditionalFormatting>
  <pageMargins left="0.7" right="0.7" top="0.75" bottom="0.75" header="0.3" footer="0.3"/>
  <pageSetup paperSize="9"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W70"/>
  <sheetViews>
    <sheetView showGridLines="0" showRowColHeaders="0" workbookViewId="0">
      <pane xSplit="1" ySplit="4" topLeftCell="B5" activePane="bottomRight" state="frozen"/>
      <selection activeCell="O17" sqref="O17"/>
      <selection pane="topRight" activeCell="O17" sqref="O17"/>
      <selection pane="bottomLeft" activeCell="O17" sqref="O17"/>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Október 2023 | Vika 42</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41'!T4+1</f>
        <v>45215</v>
      </c>
      <c r="C4" s="226"/>
      <c r="D4" s="218" t="s">
        <v>44</v>
      </c>
      <c r="E4" s="232">
        <f>B4+1</f>
        <v>45216</v>
      </c>
      <c r="F4" s="226"/>
      <c r="G4" s="219" t="s">
        <v>44</v>
      </c>
      <c r="H4" s="226">
        <f>E4+1</f>
        <v>45217</v>
      </c>
      <c r="I4" s="226"/>
      <c r="J4" s="218" t="str">
        <f>G4</f>
        <v>P</v>
      </c>
      <c r="K4" s="232">
        <f>H4+1</f>
        <v>45218</v>
      </c>
      <c r="L4" s="226"/>
      <c r="M4" s="219" t="str">
        <f>J4</f>
        <v>P</v>
      </c>
      <c r="N4" s="226">
        <f>K4+1</f>
        <v>45219</v>
      </c>
      <c r="O4" s="226"/>
      <c r="P4" s="218" t="str">
        <f>M4</f>
        <v>P</v>
      </c>
      <c r="Q4" s="232">
        <f>N4+1</f>
        <v>45220</v>
      </c>
      <c r="R4" s="226"/>
      <c r="S4" s="219" t="str">
        <f>P4</f>
        <v>P</v>
      </c>
      <c r="T4" s="226">
        <f>Q4+1</f>
        <v>45221</v>
      </c>
      <c r="U4" s="226"/>
      <c r="V4" s="219" t="str">
        <f>S4</f>
        <v>P</v>
      </c>
      <c r="W4" s="61"/>
    </row>
    <row r="5" spans="1:23" ht="11.25" customHeight="1" x14ac:dyDescent="0.2">
      <c r="A5" s="227" t="s">
        <v>12</v>
      </c>
      <c r="B5" s="209">
        <v>0.72916666666666663</v>
      </c>
      <c r="C5" s="210" t="s">
        <v>35</v>
      </c>
      <c r="D5" s="211">
        <f>IF(C5="","",IFERROR(VLOOKUP(C5,Punktar!$A:$B,2,0),""))</f>
        <v>1</v>
      </c>
      <c r="E5" s="209">
        <v>0.73263888888888884</v>
      </c>
      <c r="F5" s="210" t="s">
        <v>35</v>
      </c>
      <c r="G5" s="211">
        <f>IF(F5="","",IFERROR(VLOOKUP(F5,Punktar!$A:$B,2,0),""))</f>
        <v>1</v>
      </c>
      <c r="H5" s="209">
        <v>0.73263888888888884</v>
      </c>
      <c r="I5" s="210" t="s">
        <v>35</v>
      </c>
      <c r="J5" s="211">
        <f>IF(I5="","",IFERROR(VLOOKUP(I5,Punktar!$A:$B,2,0),""))</f>
        <v>1</v>
      </c>
      <c r="K5" s="209">
        <v>0.72916666666666663</v>
      </c>
      <c r="L5" s="210" t="s">
        <v>35</v>
      </c>
      <c r="M5" s="211">
        <f>IF(L5="","",IFERROR(VLOOKUP(L5,Punktar!$A:$B,2,0),""))</f>
        <v>1</v>
      </c>
      <c r="N5" s="209">
        <v>0.75</v>
      </c>
      <c r="O5" s="210" t="s">
        <v>35</v>
      </c>
      <c r="P5" s="211">
        <f>IF(O5="","",IFERROR(VLOOKUP(O5,Punktar!$A:$B,2,0),""))</f>
        <v>1</v>
      </c>
      <c r="Q5" s="209">
        <v>0.76736111111111116</v>
      </c>
      <c r="R5" s="210" t="s">
        <v>152</v>
      </c>
      <c r="S5" s="211">
        <f>IF(R5="","",IFERROR(VLOOKUP(R5,Punktar!$A:$B,2,0),""))</f>
        <v>3</v>
      </c>
      <c r="T5" s="209">
        <v>0.71875</v>
      </c>
      <c r="U5" s="210" t="s">
        <v>98</v>
      </c>
      <c r="V5" s="211">
        <f>IF(U5="","",IFERROR(VLOOKUP(U5,Punktar!$A:$B,2,0),""))</f>
        <v>1</v>
      </c>
      <c r="W5" s="61"/>
    </row>
    <row r="6" spans="1:23" x14ac:dyDescent="0.2">
      <c r="A6" s="228"/>
      <c r="B6" s="212">
        <v>0.75</v>
      </c>
      <c r="C6" s="22" t="s">
        <v>277</v>
      </c>
      <c r="D6" s="213">
        <f>IF(C6="","",IFERROR(VLOOKUP(C6,Punktar!$A:$B,2,0),""))</f>
        <v>2</v>
      </c>
      <c r="E6" s="212">
        <v>0.75</v>
      </c>
      <c r="F6" s="22" t="s">
        <v>277</v>
      </c>
      <c r="G6" s="213">
        <f>IF(F6="","",IFERROR(VLOOKUP(F6,Punktar!$A:$B,2,0),""))</f>
        <v>2</v>
      </c>
      <c r="H6" s="212">
        <v>0.75</v>
      </c>
      <c r="I6" s="22" t="s">
        <v>277</v>
      </c>
      <c r="J6" s="213">
        <f>IF(I6="","",IFERROR(VLOOKUP(I6,Punktar!$A:$B,2,0),""))</f>
        <v>2</v>
      </c>
      <c r="K6" s="212">
        <v>0.74305555555555547</v>
      </c>
      <c r="L6" s="22" t="s">
        <v>277</v>
      </c>
      <c r="M6" s="213">
        <f>IF(L6="","",IFERROR(VLOOKUP(L6,Punktar!$A:$B,2,0),""))</f>
        <v>2</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0.76736111111111116</v>
      </c>
      <c r="C7" s="22" t="s">
        <v>152</v>
      </c>
      <c r="D7" s="213">
        <f>IF(C7="","",IFERROR(VLOOKUP(C7,Punktar!$A:$B,2,0),""))</f>
        <v>3</v>
      </c>
      <c r="E7" s="212">
        <v>0.76736111111111116</v>
      </c>
      <c r="F7" s="22" t="s">
        <v>152</v>
      </c>
      <c r="G7" s="213">
        <f>IF(F7="","",IFERROR(VLOOKUP(F7,Punktar!$A:$B,2,0),""))</f>
        <v>3</v>
      </c>
      <c r="H7" s="212">
        <v>0.76736111111111116</v>
      </c>
      <c r="I7" s="22" t="s">
        <v>152</v>
      </c>
      <c r="J7" s="213">
        <f>IF(I7="","",IFERROR(VLOOKUP(I7,Punktar!$A:$B,2,0),""))</f>
        <v>3</v>
      </c>
      <c r="K7" s="212">
        <v>0.76736111111111116</v>
      </c>
      <c r="L7" s="22" t="s">
        <v>152</v>
      </c>
      <c r="M7" s="213">
        <f>IF(L7="","",IFERROR(VLOOKUP(L7,Punktar!$A:$B,2,0),""))</f>
        <v>3</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0.77083333333333337</v>
      </c>
      <c r="C8" s="22" t="s">
        <v>37</v>
      </c>
      <c r="D8" s="213">
        <f>IF(C8="","",IFERROR(VLOOKUP(C8,Punktar!$A:$B,2,0),""))</f>
        <v>8</v>
      </c>
      <c r="E8" s="212">
        <v>0.77083333333333337</v>
      </c>
      <c r="F8" s="22" t="s">
        <v>37</v>
      </c>
      <c r="G8" s="213">
        <f>IF(F8="","",IFERROR(VLOOKUP(F8,Punktar!$A:$B,2,0),""))</f>
        <v>8</v>
      </c>
      <c r="H8" s="212">
        <v>0.77083333333333337</v>
      </c>
      <c r="I8" s="22" t="s">
        <v>37</v>
      </c>
      <c r="J8" s="213">
        <f>IF(I8="","",IFERROR(VLOOKUP(I8,Punktar!$A:$B,2,0),""))</f>
        <v>8</v>
      </c>
      <c r="K8" s="212">
        <v>0.77083333333333337</v>
      </c>
      <c r="L8" s="22" t="s">
        <v>37</v>
      </c>
      <c r="M8" s="213">
        <f>IF(L8="","",IFERROR(VLOOKUP(L8,Punktar!$A:$B,2,0),""))</f>
        <v>8</v>
      </c>
      <c r="N8" s="212">
        <v>0.78472222222222221</v>
      </c>
      <c r="O8" s="22" t="s">
        <v>36</v>
      </c>
      <c r="P8" s="213">
        <f>IF(O8="","",IFERROR(VLOOKUP(O8,Punktar!$A:$B,2,0),""))</f>
        <v>6</v>
      </c>
      <c r="Q8" s="212">
        <v>0.78819444444444453</v>
      </c>
      <c r="R8" s="22" t="s">
        <v>212</v>
      </c>
      <c r="S8" s="213">
        <f>IF(R8="","",IFERROR(VLOOKUP(R8,Punktar!$A:$B,2,0),""))</f>
        <v>5</v>
      </c>
      <c r="T8" s="212">
        <v>0.78472222222222221</v>
      </c>
      <c r="U8" s="22" t="s">
        <v>36</v>
      </c>
      <c r="V8" s="213">
        <f>IF(U8="","",IFERROR(VLOOKUP(U8,Punktar!$A:$B,2,0),""))</f>
        <v>6</v>
      </c>
      <c r="W8" s="61"/>
    </row>
    <row r="9" spans="1:23" x14ac:dyDescent="0.2">
      <c r="A9" s="228"/>
      <c r="B9" s="212">
        <v>0.78472222222222221</v>
      </c>
      <c r="C9" s="22" t="s">
        <v>36</v>
      </c>
      <c r="D9" s="213">
        <f>IF(C9="","",IFERROR(VLOOKUP(C9,Punktar!$A:$B,2,0),""))</f>
        <v>6</v>
      </c>
      <c r="E9" s="212">
        <v>0.78472222222222221</v>
      </c>
      <c r="F9" s="22" t="s">
        <v>36</v>
      </c>
      <c r="G9" s="213">
        <f>IF(F9="","",IFERROR(VLOOKUP(F9,Punktar!$A:$B,2,0),""))</f>
        <v>6</v>
      </c>
      <c r="H9" s="212">
        <v>0.78472222222222221</v>
      </c>
      <c r="I9" s="22" t="s">
        <v>36</v>
      </c>
      <c r="J9" s="213">
        <f>IF(I9="","",IFERROR(VLOOKUP(I9,Punktar!$A:$B,2,0),""))</f>
        <v>6</v>
      </c>
      <c r="K9" s="212">
        <v>0.78472222222222221</v>
      </c>
      <c r="L9" s="22" t="s">
        <v>36</v>
      </c>
      <c r="M9" s="213">
        <f>IF(L9="","",IFERROR(VLOOKUP(L9,Punktar!$A:$B,2,0),""))</f>
        <v>6</v>
      </c>
      <c r="N9" s="212">
        <v>0.78819444444444453</v>
      </c>
      <c r="O9" s="22" t="s">
        <v>216</v>
      </c>
      <c r="P9" s="213">
        <f>IF(O9="","",IFERROR(VLOOKUP(O9,Punktar!$A:$B,2,0),""))</f>
        <v>3</v>
      </c>
      <c r="Q9" s="212"/>
      <c r="R9" s="22" t="s">
        <v>253</v>
      </c>
      <c r="S9" s="213">
        <f>IF(R9="","",IFERROR(VLOOKUP(R9,Punktar!$A:$B,2,0),""))</f>
        <v>6</v>
      </c>
      <c r="T9" s="212">
        <v>0.79166666666666663</v>
      </c>
      <c r="U9" s="22" t="s">
        <v>233</v>
      </c>
      <c r="V9" s="213">
        <f>IF(U9="","",IFERROR(VLOOKUP(U9,Punktar!$A:$B,2,0),""))</f>
        <v>5</v>
      </c>
      <c r="W9" s="61"/>
    </row>
    <row r="10" spans="1:23" x14ac:dyDescent="0.2">
      <c r="A10" s="228"/>
      <c r="B10" s="212">
        <v>0.78819444444444453</v>
      </c>
      <c r="C10" s="22" t="s">
        <v>148</v>
      </c>
      <c r="D10" s="213" t="str">
        <f>IF(C10="","",IFERROR(VLOOKUP(C10,Punktar!$A:$B,2,0),""))</f>
        <v>-</v>
      </c>
      <c r="E10" s="212">
        <v>0.78819444444444453</v>
      </c>
      <c r="F10" s="22" t="s">
        <v>148</v>
      </c>
      <c r="G10" s="213" t="str">
        <f>IF(F10="","",IFERROR(VLOOKUP(F10,Punktar!$A:$B,2,0),""))</f>
        <v>-</v>
      </c>
      <c r="H10" s="212">
        <v>0.78819444444444453</v>
      </c>
      <c r="I10" s="22" t="s">
        <v>148</v>
      </c>
      <c r="J10" s="213" t="str">
        <f>IF(I10="","",IFERROR(VLOOKUP(I10,Punktar!$A:$B,2,0),""))</f>
        <v>-</v>
      </c>
      <c r="K10" s="212">
        <v>0.78819444444444453</v>
      </c>
      <c r="L10" s="22" t="s">
        <v>148</v>
      </c>
      <c r="M10" s="213" t="str">
        <f>IF(L10="","",IFERROR(VLOOKUP(L10,Punktar!$A:$B,2,0),""))</f>
        <v>-</v>
      </c>
      <c r="N10" s="212">
        <v>0.8125</v>
      </c>
      <c r="O10" s="22" t="s">
        <v>218</v>
      </c>
      <c r="P10" s="213">
        <f>IF(O10="","",IFERROR(VLOOKUP(O10,Punktar!$A:$B,2,0),""))</f>
        <v>2</v>
      </c>
      <c r="Q10" s="212">
        <v>0.82291666666666663</v>
      </c>
      <c r="R10" s="22" t="s">
        <v>307</v>
      </c>
      <c r="S10" s="213">
        <f>IF(R10="","",IFERROR(VLOOKUP(R10,Punktar!$A:$B,2,0),""))</f>
        <v>3</v>
      </c>
      <c r="T10" s="212">
        <v>0.81944444444444453</v>
      </c>
      <c r="U10" s="22" t="s">
        <v>234</v>
      </c>
      <c r="V10" s="213">
        <f>IF(U10="","",IFERROR(VLOOKUP(U10,Punktar!$A:$B,2,0),""))</f>
        <v>2</v>
      </c>
      <c r="W10" s="61"/>
    </row>
    <row r="11" spans="1:23" x14ac:dyDescent="0.2">
      <c r="A11" s="228"/>
      <c r="B11" s="212">
        <v>0.79861111111111116</v>
      </c>
      <c r="C11" s="22" t="s">
        <v>225</v>
      </c>
      <c r="D11" s="213">
        <f>IF(C11="","",IFERROR(VLOOKUP(C11,Punktar!$A:$B,2,0),""))</f>
        <v>4</v>
      </c>
      <c r="E11" s="212">
        <v>0.79861111111111116</v>
      </c>
      <c r="F11" s="22" t="s">
        <v>227</v>
      </c>
      <c r="G11" s="213">
        <f>IF(F11="","",IFERROR(VLOOKUP(F11,Punktar!$A:$B,2,0),""))</f>
        <v>3</v>
      </c>
      <c r="H11" s="212">
        <v>0.79861111111111116</v>
      </c>
      <c r="I11" s="22" t="s">
        <v>308</v>
      </c>
      <c r="J11" s="213">
        <f>IF(I11="","",IFERROR(VLOOKUP(I11,Punktar!$A:$B,2,0),""))</f>
        <v>3</v>
      </c>
      <c r="K11" s="212">
        <v>0.79861111111111116</v>
      </c>
      <c r="L11" s="22" t="s">
        <v>203</v>
      </c>
      <c r="M11" s="213">
        <f>IF(L11="","",IFERROR(VLOOKUP(L11,Punktar!$A:$B,2,0),""))</f>
        <v>2</v>
      </c>
      <c r="N11" s="212">
        <v>0.84375</v>
      </c>
      <c r="O11" s="22" t="s">
        <v>250</v>
      </c>
      <c r="P11" s="213">
        <f>IF(O11="","",IFERROR(VLOOKUP(O11,Punktar!$A:$B,2,0),""))</f>
        <v>2</v>
      </c>
      <c r="Q11" s="212">
        <v>0.86458333333333337</v>
      </c>
      <c r="R11" s="22" t="s">
        <v>246</v>
      </c>
      <c r="S11" s="213">
        <f>IF(R11="","",IFERROR(VLOOKUP(R11,Punktar!$A:$B,2,0),""))</f>
        <v>2</v>
      </c>
      <c r="T11" s="212">
        <v>0.86458333333333337</v>
      </c>
      <c r="U11" s="22" t="s">
        <v>219</v>
      </c>
      <c r="V11" s="213">
        <f>IF(U11="","",IFERROR(VLOOKUP(U11,Punktar!$A:$B,2,0),""))</f>
        <v>1</v>
      </c>
      <c r="W11" s="61"/>
    </row>
    <row r="12" spans="1:23" x14ac:dyDescent="0.2">
      <c r="A12" s="228"/>
      <c r="B12" s="212">
        <v>0.81597222222222221</v>
      </c>
      <c r="C12" s="22" t="s">
        <v>241</v>
      </c>
      <c r="D12" s="213">
        <f>IF(C12="","",IFERROR(VLOOKUP(C12,Punktar!$A:$B,2,0),""))</f>
        <v>2</v>
      </c>
      <c r="E12" s="212">
        <v>0.82638888888888884</v>
      </c>
      <c r="F12" s="22" t="s">
        <v>186</v>
      </c>
      <c r="G12" s="213">
        <f>IF(F12="","",IFERROR(VLOOKUP(F12,Punktar!$A:$B,2,0),""))</f>
        <v>2</v>
      </c>
      <c r="H12" s="212">
        <v>0.81597222222222221</v>
      </c>
      <c r="I12" s="22" t="s">
        <v>195</v>
      </c>
      <c r="J12" s="213">
        <f>IF(I12="","",IFERROR(VLOOKUP(I12,Punktar!$A:$B,2,0),""))</f>
        <v>2</v>
      </c>
      <c r="K12" s="212">
        <v>0.83333333333333337</v>
      </c>
      <c r="L12" s="22" t="s">
        <v>278</v>
      </c>
      <c r="M12" s="213">
        <f>IF(L12="","",IFERROR(VLOOKUP(L12,Punktar!$A:$B,2,0),""))</f>
        <v>2</v>
      </c>
      <c r="N12" s="212">
        <v>0.90625</v>
      </c>
      <c r="O12" s="22" t="s">
        <v>245</v>
      </c>
      <c r="P12" s="213">
        <f>IF(O12="","",IFERROR(VLOOKUP(O12,Punktar!$A:$B,2,0),""))</f>
        <v>2</v>
      </c>
      <c r="Q12" s="212">
        <v>0.93402777777777779</v>
      </c>
      <c r="R12" s="22" t="s">
        <v>247</v>
      </c>
      <c r="S12" s="213">
        <f>IF(R12="","",IFERROR(VLOOKUP(R12,Punktar!$A:$B,2,0),""))</f>
        <v>2</v>
      </c>
      <c r="T12" s="212">
        <v>0.88541666666666663</v>
      </c>
      <c r="U12" s="22" t="s">
        <v>240</v>
      </c>
      <c r="V12" s="213">
        <f>IF(U12="","",IFERROR(VLOOKUP(U12,Punktar!$A:$B,2,0),""))</f>
        <v>2</v>
      </c>
      <c r="W12" s="61"/>
    </row>
    <row r="13" spans="1:23" x14ac:dyDescent="0.2">
      <c r="A13" s="228"/>
      <c r="B13" s="212">
        <v>0.85416666666666663</v>
      </c>
      <c r="C13" s="22" t="s">
        <v>226</v>
      </c>
      <c r="D13" s="213">
        <f>IF(C13="","",IFERROR(VLOOKUP(C13,Punktar!$A:$B,2,0),""))</f>
        <v>2</v>
      </c>
      <c r="E13" s="212">
        <v>0.85763888888888884</v>
      </c>
      <c r="F13" s="22" t="s">
        <v>202</v>
      </c>
      <c r="G13" s="213">
        <f>IF(F13="","",IFERROR(VLOOKUP(F13,Punktar!$A:$B,2,0),""))</f>
        <v>3</v>
      </c>
      <c r="H13" s="212">
        <v>0.85069444444444453</v>
      </c>
      <c r="I13" s="22" t="s">
        <v>280</v>
      </c>
      <c r="J13" s="213">
        <f>IF(I13="","",IFERROR(VLOOKUP(I13,Punktar!$A:$B,2,0),""))</f>
        <v>2</v>
      </c>
      <c r="K13" s="212">
        <v>0.86805555555555547</v>
      </c>
      <c r="L13" s="22" t="s">
        <v>190</v>
      </c>
      <c r="M13" s="213">
        <f>IF(L13="","",IFERROR(VLOOKUP(L13,Punktar!$A:$B,2,0),""))</f>
        <v>2</v>
      </c>
      <c r="N13" s="212">
        <v>0.97916666666666663</v>
      </c>
      <c r="O13" s="22" t="s">
        <v>210</v>
      </c>
      <c r="P13" s="213">
        <f>IF(O13="","",IFERROR(VLOOKUP(O13,Punktar!$A:$B,2,0),""))</f>
        <v>1</v>
      </c>
      <c r="Q13" s="212" t="s">
        <v>182</v>
      </c>
      <c r="R13" s="22" t="s">
        <v>182</v>
      </c>
      <c r="S13" s="213" t="str">
        <f>IF(R13="","",IFERROR(VLOOKUP(R13,Punktar!$A:$B,2,0),""))</f>
        <v/>
      </c>
      <c r="T13" s="212">
        <v>0.92013888888888884</v>
      </c>
      <c r="U13" s="22" t="s">
        <v>270</v>
      </c>
      <c r="V13" s="213" t="str">
        <f>IF(U13="","",IFERROR(VLOOKUP(U13,Punktar!$A:$B,2,0),""))</f>
        <v/>
      </c>
      <c r="W13" s="61"/>
    </row>
    <row r="14" spans="1:23" x14ac:dyDescent="0.2">
      <c r="A14" s="228"/>
      <c r="B14" s="212">
        <v>0.87152777777777779</v>
      </c>
      <c r="C14" s="22" t="s">
        <v>235</v>
      </c>
      <c r="D14" s="213">
        <f>IF(C14="","",IFERROR(VLOOKUP(C14,Punktar!$A:$B,2,0),""))</f>
        <v>2</v>
      </c>
      <c r="E14" s="212">
        <v>0.89236111111111116</v>
      </c>
      <c r="F14" s="22" t="s">
        <v>187</v>
      </c>
      <c r="G14" s="213">
        <f>IF(F14="","",IFERROR(VLOOKUP(F14,Punktar!$A:$B,2,0),""))</f>
        <v>1</v>
      </c>
      <c r="H14" s="212">
        <v>0.86805555555555547</v>
      </c>
      <c r="I14" s="22" t="s">
        <v>242</v>
      </c>
      <c r="J14" s="213">
        <f>IF(I14="","",IFERROR(VLOOKUP(I14,Punktar!$A:$B,2,0),""))</f>
        <v>2</v>
      </c>
      <c r="K14" s="212">
        <v>0.89930555555555547</v>
      </c>
      <c r="L14" s="22" t="s">
        <v>243</v>
      </c>
      <c r="M14" s="213">
        <f>IF(L14="","",IFERROR(VLOOKUP(L14,Punktar!$A:$B,2,0),""))</f>
        <v>2</v>
      </c>
      <c r="N14" s="212">
        <v>0.99305555555555547</v>
      </c>
      <c r="O14" s="22" t="s">
        <v>210</v>
      </c>
      <c r="P14" s="213">
        <f>IF(O14="","",IFERROR(VLOOKUP(O14,Punktar!$A:$B,2,0),""))</f>
        <v>1</v>
      </c>
      <c r="Q14" s="212" t="s">
        <v>182</v>
      </c>
      <c r="R14" s="22" t="s">
        <v>182</v>
      </c>
      <c r="S14" s="213" t="str">
        <f>IF(R14="","",IFERROR(VLOOKUP(R14,Punktar!$A:$B,2,0),""))</f>
        <v/>
      </c>
      <c r="T14" s="212">
        <v>0.95486111111111116</v>
      </c>
      <c r="U14" s="22" t="s">
        <v>286</v>
      </c>
      <c r="V14" s="213" t="str">
        <f>IF(U14="","",IFERROR(VLOOKUP(U14,Punktar!$A:$B,2,0),""))</f>
        <v/>
      </c>
      <c r="W14" s="61"/>
    </row>
    <row r="15" spans="1:23" x14ac:dyDescent="0.2">
      <c r="A15" s="228"/>
      <c r="B15" s="212">
        <v>0.89583333333333337</v>
      </c>
      <c r="C15" s="22" t="s">
        <v>210</v>
      </c>
      <c r="D15" s="213">
        <f>IF(C15="","",IFERROR(VLOOKUP(C15,Punktar!$A:$B,2,0),""))</f>
        <v>1</v>
      </c>
      <c r="E15" s="212">
        <v>0.90972222222222221</v>
      </c>
      <c r="F15" s="22" t="s">
        <v>210</v>
      </c>
      <c r="G15" s="213">
        <f>IF(F15="","",IFERROR(VLOOKUP(F15,Punktar!$A:$B,2,0),""))</f>
        <v>1</v>
      </c>
      <c r="H15" s="212">
        <v>0.89930555555555547</v>
      </c>
      <c r="I15" s="22" t="s">
        <v>222</v>
      </c>
      <c r="J15" s="213">
        <f>IF(I15="","",IFERROR(VLOOKUP(I15,Punktar!$A:$B,2,0),""))</f>
        <v>2</v>
      </c>
      <c r="K15" s="212">
        <v>0.93055555555555547</v>
      </c>
      <c r="L15" s="22" t="s">
        <v>210</v>
      </c>
      <c r="M15" s="213">
        <f>IF(L15="","",IFERROR(VLOOKUP(L15,Punktar!$A:$B,2,0),""))</f>
        <v>1</v>
      </c>
      <c r="N15" s="212" t="s">
        <v>182</v>
      </c>
      <c r="O15" s="22" t="s">
        <v>182</v>
      </c>
      <c r="P15" s="213" t="str">
        <f>IF(O15="","",IFERROR(VLOOKUP(O15,Punktar!$A:$B,2,0),""))</f>
        <v/>
      </c>
      <c r="Q15" s="212" t="s">
        <v>182</v>
      </c>
      <c r="R15" s="22" t="s">
        <v>182</v>
      </c>
      <c r="S15" s="213" t="str">
        <f>IF(R15="","",IFERROR(VLOOKUP(R15,Punktar!$A:$B,2,0),""))</f>
        <v/>
      </c>
      <c r="T15" s="212">
        <v>0.96875</v>
      </c>
      <c r="U15" s="22" t="s">
        <v>272</v>
      </c>
      <c r="V15" s="213" t="str">
        <f>IF(U15="","",IFERROR(VLOOKUP(U15,Punktar!$A:$B,2,0),""))</f>
        <v/>
      </c>
      <c r="W15" s="61"/>
    </row>
    <row r="16" spans="1:23" x14ac:dyDescent="0.2">
      <c r="A16" s="228"/>
      <c r="B16" s="212">
        <v>0.90972222222222221</v>
      </c>
      <c r="C16" s="22" t="s">
        <v>210</v>
      </c>
      <c r="D16" s="213">
        <f>IF(C16="","",IFERROR(VLOOKUP(C16,Punktar!$A:$B,2,0),""))</f>
        <v>1</v>
      </c>
      <c r="E16" s="212">
        <v>0.92361111111111116</v>
      </c>
      <c r="F16" s="22" t="s">
        <v>210</v>
      </c>
      <c r="G16" s="213">
        <f>IF(F16="","",IFERROR(VLOOKUP(F16,Punktar!$A:$B,2,0),""))</f>
        <v>1</v>
      </c>
      <c r="H16" s="212">
        <v>0.92361111111111116</v>
      </c>
      <c r="I16" s="22" t="s">
        <v>321</v>
      </c>
      <c r="J16" s="213" t="str">
        <f>IF(I16="","",IFERROR(VLOOKUP(I16,Punktar!$A:$B,2,0),""))</f>
        <v/>
      </c>
      <c r="K16" s="212">
        <v>0.94444444444444453</v>
      </c>
      <c r="L16" s="22" t="s">
        <v>210</v>
      </c>
      <c r="M16" s="213">
        <f>IF(L16="","",IFERROR(VLOOKUP(L16,Punktar!$A:$B,2,0),""))</f>
        <v>1</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61"/>
    </row>
    <row r="17" spans="1:23" x14ac:dyDescent="0.2">
      <c r="A17" s="228"/>
      <c r="B17" s="212">
        <v>0.92708333333333337</v>
      </c>
      <c r="C17" s="22" t="s">
        <v>255</v>
      </c>
      <c r="D17" s="213" t="str">
        <f>IF(C17="","",IFERROR(VLOOKUP(C17,Punktar!$A:$B,2,0),""))</f>
        <v/>
      </c>
      <c r="E17" s="212">
        <v>0.9375</v>
      </c>
      <c r="F17" s="22" t="s">
        <v>260</v>
      </c>
      <c r="G17" s="213" t="str">
        <f>IF(F17="","",IFERROR(VLOOKUP(F17,Punktar!$A:$B,2,0),""))</f>
        <v/>
      </c>
      <c r="H17" s="212">
        <v>0.95486111111111116</v>
      </c>
      <c r="I17" s="22" t="s">
        <v>210</v>
      </c>
      <c r="J17" s="213">
        <f>IF(I17="","",IFERROR(VLOOKUP(I17,Punktar!$A:$B,2,0),""))</f>
        <v>1</v>
      </c>
      <c r="K17" s="212">
        <v>0.96180555555555547</v>
      </c>
      <c r="L17" s="22" t="s">
        <v>282</v>
      </c>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v>0.95833333333333337</v>
      </c>
      <c r="C18" s="22" t="s">
        <v>284</v>
      </c>
      <c r="D18" s="213" t="str">
        <f>IF(C18="","",IFERROR(VLOOKUP(C18,Punktar!$A:$B,2,0),""))</f>
        <v/>
      </c>
      <c r="E18" s="212">
        <v>0.95486111111111116</v>
      </c>
      <c r="F18" s="22" t="s">
        <v>257</v>
      </c>
      <c r="G18" s="213" t="str">
        <f>IF(F18="","",IFERROR(VLOOKUP(F18,Punktar!$A:$B,2,0),""))</f>
        <v/>
      </c>
      <c r="H18" s="212">
        <v>0.96875</v>
      </c>
      <c r="I18" s="22" t="s">
        <v>210</v>
      </c>
      <c r="J18" s="213">
        <f>IF(I18="","",IFERROR(VLOOKUP(I18,Punktar!$A:$B,2,0),""))</f>
        <v>1</v>
      </c>
      <c r="K18" s="212">
        <v>0.99652777777777779</v>
      </c>
      <c r="L18" s="22" t="s">
        <v>302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v>0.98958333333333337</v>
      </c>
      <c r="C19" s="22" t="s">
        <v>320</v>
      </c>
      <c r="D19" s="213" t="str">
        <f>IF(C19="","",IFERROR(VLOOKUP(C19,Punktar!$A:$B,2,0),""))</f>
        <v/>
      </c>
      <c r="E19" s="212">
        <v>0.97916666666666663</v>
      </c>
      <c r="F19" s="22" t="s">
        <v>261</v>
      </c>
      <c r="G19" s="213" t="str">
        <f>IF(F19="","",IFERROR(VLOOKUP(F19,Punktar!$A:$B,2,0),""))</f>
        <v/>
      </c>
      <c r="H19" s="212">
        <v>0.98958333333333337</v>
      </c>
      <c r="I19" s="22" t="s">
        <v>285</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c r="C20" s="215"/>
      <c r="D20" s="216" t="str">
        <f>IF(C20="","",IFERROR(VLOOKUP(C20,Punktar!$A:$B,2,0),""))</f>
        <v/>
      </c>
      <c r="E20" s="214">
        <v>0.99652777777777779</v>
      </c>
      <c r="F20" s="215" t="s">
        <v>323</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4" priority="1" operator="containsText" text=" YYY">
      <formula>NOT(ISERROR(SEARCH(" YYY",B5)))</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W70"/>
  <sheetViews>
    <sheetView showGridLines="0" showRowColHeaders="0" zoomScaleNormal="100" workbookViewId="0">
      <pane xSplit="1" ySplit="4" topLeftCell="B5" activePane="bottomRight" state="frozen"/>
      <selection activeCell="C10" sqref="C10"/>
      <selection pane="topRight" activeCell="C10" sqref="C10"/>
      <selection pane="bottomLeft" activeCell="C10" sqref="C10"/>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Október 2023 | Vika 43</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42'!T4+1</f>
        <v>45222</v>
      </c>
      <c r="C4" s="226"/>
      <c r="D4" s="218" t="s">
        <v>44</v>
      </c>
      <c r="E4" s="232">
        <f>B4+1</f>
        <v>45223</v>
      </c>
      <c r="F4" s="226"/>
      <c r="G4" s="219" t="s">
        <v>44</v>
      </c>
      <c r="H4" s="226">
        <f>E4+1</f>
        <v>45224</v>
      </c>
      <c r="I4" s="226"/>
      <c r="J4" s="218" t="s">
        <v>44</v>
      </c>
      <c r="K4" s="232">
        <f>H4+1</f>
        <v>45225</v>
      </c>
      <c r="L4" s="226"/>
      <c r="M4" s="219" t="s">
        <v>44</v>
      </c>
      <c r="N4" s="226">
        <f>K4+1</f>
        <v>45226</v>
      </c>
      <c r="O4" s="226"/>
      <c r="P4" s="218" t="s">
        <v>44</v>
      </c>
      <c r="Q4" s="232">
        <f>N4+1</f>
        <v>45227</v>
      </c>
      <c r="R4" s="226"/>
      <c r="S4" s="219" t="s">
        <v>44</v>
      </c>
      <c r="T4" s="226">
        <f>Q4+1</f>
        <v>45228</v>
      </c>
      <c r="U4" s="226"/>
      <c r="V4" s="219" t="s">
        <v>44</v>
      </c>
      <c r="W4" s="61"/>
    </row>
    <row r="5" spans="1:23" ht="11.25" customHeight="1" x14ac:dyDescent="0.2">
      <c r="A5" s="227" t="s">
        <v>12</v>
      </c>
      <c r="B5" s="209">
        <v>0.72916666666666663</v>
      </c>
      <c r="C5" s="210" t="s">
        <v>35</v>
      </c>
      <c r="D5" s="211">
        <f>IF(C5="","",IFERROR(VLOOKUP(C5,Punktar!$A:$B,2,0),""))</f>
        <v>1</v>
      </c>
      <c r="E5" s="209">
        <v>0.73263888888888884</v>
      </c>
      <c r="F5" s="210" t="s">
        <v>35</v>
      </c>
      <c r="G5" s="211">
        <f>IF(F5="","",IFERROR(VLOOKUP(F5,Punktar!$A:$B,2,0),""))</f>
        <v>1</v>
      </c>
      <c r="H5" s="209">
        <v>0.72916666666666663</v>
      </c>
      <c r="I5" s="210" t="s">
        <v>35</v>
      </c>
      <c r="J5" s="211">
        <f>IF(I5="","",IFERROR(VLOOKUP(I5,Punktar!$A:$B,2,0),""))</f>
        <v>1</v>
      </c>
      <c r="K5" s="209">
        <v>0.72916666666666663</v>
      </c>
      <c r="L5" s="210" t="s">
        <v>35</v>
      </c>
      <c r="M5" s="211">
        <f>IF(L5="","",IFERROR(VLOOKUP(L5,Punktar!$A:$B,2,0),""))</f>
        <v>1</v>
      </c>
      <c r="N5" s="209">
        <v>0.72916666666666663</v>
      </c>
      <c r="O5" s="210" t="s">
        <v>35</v>
      </c>
      <c r="P5" s="211">
        <f>IF(O5="","",IFERROR(VLOOKUP(O5,Punktar!$A:$B,2,0),""))</f>
        <v>1</v>
      </c>
      <c r="Q5" s="209">
        <v>0.76736111111111116</v>
      </c>
      <c r="R5" s="210" t="s">
        <v>152</v>
      </c>
      <c r="S5" s="211">
        <f>IF(R5="","",IFERROR(VLOOKUP(R5,Punktar!$A:$B,2,0),""))</f>
        <v>3</v>
      </c>
      <c r="T5" s="209">
        <v>0.71875</v>
      </c>
      <c r="U5" s="210" t="s">
        <v>98</v>
      </c>
      <c r="V5" s="211">
        <f>IF(U5="","",IFERROR(VLOOKUP(U5,Punktar!$A:$B,2,0),""))</f>
        <v>1</v>
      </c>
      <c r="W5" s="61"/>
    </row>
    <row r="6" spans="1:23" x14ac:dyDescent="0.2">
      <c r="A6" s="228"/>
      <c r="B6" s="212">
        <v>0.75</v>
      </c>
      <c r="C6" s="22" t="s">
        <v>277</v>
      </c>
      <c r="D6" s="213">
        <f>IF(C6="","",IFERROR(VLOOKUP(C6,Punktar!$A:$B,2,0),""))</f>
        <v>2</v>
      </c>
      <c r="E6" s="212">
        <v>0.75</v>
      </c>
      <c r="F6" s="22" t="s">
        <v>277</v>
      </c>
      <c r="G6" s="213">
        <f>IF(F6="","",IFERROR(VLOOKUP(F6,Punktar!$A:$B,2,0),""))</f>
        <v>2</v>
      </c>
      <c r="H6" s="212">
        <v>0.75</v>
      </c>
      <c r="I6" s="22" t="s">
        <v>277</v>
      </c>
      <c r="J6" s="213">
        <f>IF(I6="","",IFERROR(VLOOKUP(I6,Punktar!$A:$B,2,0),""))</f>
        <v>2</v>
      </c>
      <c r="K6" s="212">
        <v>0.74305555555555547</v>
      </c>
      <c r="L6" s="22" t="s">
        <v>277</v>
      </c>
      <c r="M6" s="213">
        <f>IF(L6="","",IFERROR(VLOOKUP(L6,Punktar!$A:$B,2,0),""))</f>
        <v>2</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0.76736111111111116</v>
      </c>
      <c r="C7" s="22" t="s">
        <v>152</v>
      </c>
      <c r="D7" s="213">
        <f>IF(C7="","",IFERROR(VLOOKUP(C7,Punktar!$A:$B,2,0),""))</f>
        <v>3</v>
      </c>
      <c r="E7" s="212">
        <v>0.76736111111111116</v>
      </c>
      <c r="F7" s="22" t="s">
        <v>152</v>
      </c>
      <c r="G7" s="213">
        <f>IF(F7="","",IFERROR(VLOOKUP(F7,Punktar!$A:$B,2,0),""))</f>
        <v>3</v>
      </c>
      <c r="H7" s="212">
        <v>0.76736111111111116</v>
      </c>
      <c r="I7" s="22" t="s">
        <v>152</v>
      </c>
      <c r="J7" s="213">
        <f>IF(I7="","",IFERROR(VLOOKUP(I7,Punktar!$A:$B,2,0),""))</f>
        <v>3</v>
      </c>
      <c r="K7" s="212">
        <v>0.76736111111111116</v>
      </c>
      <c r="L7" s="22" t="s">
        <v>152</v>
      </c>
      <c r="M7" s="213">
        <f>IF(L7="","",IFERROR(VLOOKUP(L7,Punktar!$A:$B,2,0),""))</f>
        <v>3</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0.77083333333333337</v>
      </c>
      <c r="C8" s="22" t="s">
        <v>37</v>
      </c>
      <c r="D8" s="213">
        <f>IF(C8="","",IFERROR(VLOOKUP(C8,Punktar!$A:$B,2,0),""))</f>
        <v>8</v>
      </c>
      <c r="E8" s="212">
        <v>0.77083333333333337</v>
      </c>
      <c r="F8" s="22" t="s">
        <v>37</v>
      </c>
      <c r="G8" s="213">
        <f>IF(F8="","",IFERROR(VLOOKUP(F8,Punktar!$A:$B,2,0),""))</f>
        <v>8</v>
      </c>
      <c r="H8" s="212">
        <v>0.77083333333333337</v>
      </c>
      <c r="I8" s="22" t="s">
        <v>37</v>
      </c>
      <c r="J8" s="213">
        <f>IF(I8="","",IFERROR(VLOOKUP(I8,Punktar!$A:$B,2,0),""))</f>
        <v>8</v>
      </c>
      <c r="K8" s="212">
        <v>0.77083333333333337</v>
      </c>
      <c r="L8" s="22" t="s">
        <v>37</v>
      </c>
      <c r="M8" s="213">
        <f>IF(L8="","",IFERROR(VLOOKUP(L8,Punktar!$A:$B,2,0),""))</f>
        <v>8</v>
      </c>
      <c r="N8" s="212">
        <v>0.78472222222222221</v>
      </c>
      <c r="O8" s="22" t="s">
        <v>36</v>
      </c>
      <c r="P8" s="213">
        <f>IF(O8="","",IFERROR(VLOOKUP(O8,Punktar!$A:$B,2,0),""))</f>
        <v>6</v>
      </c>
      <c r="Q8" s="212">
        <v>0.78819444444444453</v>
      </c>
      <c r="R8" s="22" t="s">
        <v>212</v>
      </c>
      <c r="S8" s="213">
        <f>IF(R8="","",IFERROR(VLOOKUP(R8,Punktar!$A:$B,2,0),""))</f>
        <v>5</v>
      </c>
      <c r="T8" s="212">
        <v>0.78472222222222221</v>
      </c>
      <c r="U8" s="22" t="s">
        <v>36</v>
      </c>
      <c r="V8" s="213">
        <f>IF(U8="","",IFERROR(VLOOKUP(U8,Punktar!$A:$B,2,0),""))</f>
        <v>6</v>
      </c>
      <c r="W8" s="61"/>
    </row>
    <row r="9" spans="1:23" x14ac:dyDescent="0.2">
      <c r="A9" s="228"/>
      <c r="B9" s="212">
        <v>0.78472222222222221</v>
      </c>
      <c r="C9" s="22" t="s">
        <v>36</v>
      </c>
      <c r="D9" s="213">
        <f>IF(C9="","",IFERROR(VLOOKUP(C9,Punktar!$A:$B,2,0),""))</f>
        <v>6</v>
      </c>
      <c r="E9" s="212">
        <v>0.78472222222222221</v>
      </c>
      <c r="F9" s="22" t="s">
        <v>36</v>
      </c>
      <c r="G9" s="213">
        <f>IF(F9="","",IFERROR(VLOOKUP(F9,Punktar!$A:$B,2,0),""))</f>
        <v>6</v>
      </c>
      <c r="H9" s="212">
        <v>0.78472222222222221</v>
      </c>
      <c r="I9" s="22" t="s">
        <v>36</v>
      </c>
      <c r="J9" s="213">
        <f>IF(I9="","",IFERROR(VLOOKUP(I9,Punktar!$A:$B,2,0),""))</f>
        <v>6</v>
      </c>
      <c r="K9" s="212">
        <v>0.78472222222222221</v>
      </c>
      <c r="L9" s="22" t="s">
        <v>36</v>
      </c>
      <c r="M9" s="213">
        <f>IF(L9="","",IFERROR(VLOOKUP(L9,Punktar!$A:$B,2,0),""))</f>
        <v>6</v>
      </c>
      <c r="N9" s="212">
        <v>0.78819444444444453</v>
      </c>
      <c r="O9" s="22" t="s">
        <v>218</v>
      </c>
      <c r="P9" s="213">
        <f>IF(O9="","",IFERROR(VLOOKUP(O9,Punktar!$A:$B,2,0),""))</f>
        <v>2</v>
      </c>
      <c r="Q9" s="212"/>
      <c r="R9" s="22" t="s">
        <v>253</v>
      </c>
      <c r="S9" s="213">
        <f>IF(R9="","",IFERROR(VLOOKUP(R9,Punktar!$A:$B,2,0),""))</f>
        <v>6</v>
      </c>
      <c r="T9" s="212">
        <v>0.78819444444444453</v>
      </c>
      <c r="U9" s="22" t="s">
        <v>233</v>
      </c>
      <c r="V9" s="213">
        <f>IF(U9="","",IFERROR(VLOOKUP(U9,Punktar!$A:$B,2,0),""))</f>
        <v>5</v>
      </c>
      <c r="W9" s="61"/>
    </row>
    <row r="10" spans="1:23" x14ac:dyDescent="0.2">
      <c r="A10" s="228"/>
      <c r="B10" s="212">
        <v>0.78819444444444453</v>
      </c>
      <c r="C10" s="22" t="s">
        <v>148</v>
      </c>
      <c r="D10" s="213" t="str">
        <f>IF(C10="","",IFERROR(VLOOKUP(C10,Punktar!$A:$B,2,0),""))</f>
        <v>-</v>
      </c>
      <c r="E10" s="212">
        <v>0.78819444444444453</v>
      </c>
      <c r="F10" s="22" t="s">
        <v>148</v>
      </c>
      <c r="G10" s="213" t="str">
        <f>IF(F10="","",IFERROR(VLOOKUP(F10,Punktar!$A:$B,2,0),""))</f>
        <v>-</v>
      </c>
      <c r="H10" s="212">
        <v>0.78819444444444453</v>
      </c>
      <c r="I10" s="22" t="s">
        <v>148</v>
      </c>
      <c r="J10" s="213" t="str">
        <f>IF(I10="","",IFERROR(VLOOKUP(I10,Punktar!$A:$B,2,0),""))</f>
        <v>-</v>
      </c>
      <c r="K10" s="212">
        <v>0.78819444444444453</v>
      </c>
      <c r="L10" s="22" t="s">
        <v>148</v>
      </c>
      <c r="M10" s="213" t="str">
        <f>IF(L10="","",IFERROR(VLOOKUP(L10,Punktar!$A:$B,2,0),""))</f>
        <v>-</v>
      </c>
      <c r="N10" s="212">
        <v>0.81944444444444453</v>
      </c>
      <c r="O10" s="22" t="s">
        <v>248</v>
      </c>
      <c r="P10" s="213">
        <f>IF(O10="","",IFERROR(VLOOKUP(O10,Punktar!$A:$B,2,0),""))</f>
        <v>2</v>
      </c>
      <c r="Q10" s="212">
        <v>0.81944444444444453</v>
      </c>
      <c r="R10" s="22" t="s">
        <v>307</v>
      </c>
      <c r="S10" s="213">
        <f>IF(R10="","",IFERROR(VLOOKUP(R10,Punktar!$A:$B,2,0),""))</f>
        <v>3</v>
      </c>
      <c r="T10" s="212">
        <v>0.79166666666666663</v>
      </c>
      <c r="U10" s="22" t="s">
        <v>218</v>
      </c>
      <c r="V10" s="213">
        <f>IF(U10="","",IFERROR(VLOOKUP(U10,Punktar!$A:$B,2,0),""))</f>
        <v>2</v>
      </c>
      <c r="W10" s="61"/>
    </row>
    <row r="11" spans="1:23" x14ac:dyDescent="0.2">
      <c r="A11" s="228"/>
      <c r="B11" s="212">
        <v>0.79861111111111116</v>
      </c>
      <c r="C11" s="22" t="s">
        <v>225</v>
      </c>
      <c r="D11" s="213">
        <f>IF(C11="","",IFERROR(VLOOKUP(C11,Punktar!$A:$B,2,0),""))</f>
        <v>4</v>
      </c>
      <c r="E11" s="212">
        <v>0.79861111111111116</v>
      </c>
      <c r="F11" s="22" t="s">
        <v>227</v>
      </c>
      <c r="G11" s="213">
        <f>IF(F11="","",IFERROR(VLOOKUP(F11,Punktar!$A:$B,2,0),""))</f>
        <v>3</v>
      </c>
      <c r="H11" s="212">
        <v>0.79861111111111116</v>
      </c>
      <c r="I11" s="22" t="s">
        <v>308</v>
      </c>
      <c r="J11" s="213">
        <f>IF(I11="","",IFERROR(VLOOKUP(I11,Punktar!$A:$B,2,0),""))</f>
        <v>3</v>
      </c>
      <c r="K11" s="212">
        <v>0.79861111111111116</v>
      </c>
      <c r="L11" s="22" t="s">
        <v>203</v>
      </c>
      <c r="M11" s="213">
        <f>IF(L11="","",IFERROR(VLOOKUP(L11,Punktar!$A:$B,2,0),""))</f>
        <v>2</v>
      </c>
      <c r="N11" s="212">
        <v>0.87152777777777779</v>
      </c>
      <c r="O11" s="22" t="s">
        <v>249</v>
      </c>
      <c r="P11" s="213">
        <f>IF(O11="","",IFERROR(VLOOKUP(O11,Punktar!$A:$B,2,0),""))</f>
        <v>2</v>
      </c>
      <c r="Q11" s="212">
        <v>0.86111111111111116</v>
      </c>
      <c r="R11" s="22" t="s">
        <v>251</v>
      </c>
      <c r="S11" s="213">
        <f>IF(R11="","",IFERROR(VLOOKUP(R11,Punktar!$A:$B,2,0),""))</f>
        <v>2</v>
      </c>
      <c r="T11" s="212">
        <v>0.81944444444444453</v>
      </c>
      <c r="U11" s="22" t="s">
        <v>234</v>
      </c>
      <c r="V11" s="213">
        <f>IF(U11="","",IFERROR(VLOOKUP(U11,Punktar!$A:$B,2,0),""))</f>
        <v>2</v>
      </c>
      <c r="W11" s="61"/>
    </row>
    <row r="12" spans="1:23" x14ac:dyDescent="0.2">
      <c r="A12" s="228"/>
      <c r="B12" s="212">
        <v>0.81597222222222221</v>
      </c>
      <c r="C12" s="22" t="s">
        <v>241</v>
      </c>
      <c r="D12" s="213">
        <f>IF(C12="","",IFERROR(VLOOKUP(C12,Punktar!$A:$B,2,0),""))</f>
        <v>2</v>
      </c>
      <c r="E12" s="212">
        <v>0.82638888888888884</v>
      </c>
      <c r="F12" s="22" t="s">
        <v>186</v>
      </c>
      <c r="G12" s="213">
        <f>IF(F12="","",IFERROR(VLOOKUP(F12,Punktar!$A:$B,2,0),""))</f>
        <v>2</v>
      </c>
      <c r="H12" s="212">
        <v>0.81597222222222221</v>
      </c>
      <c r="I12" s="22" t="s">
        <v>195</v>
      </c>
      <c r="J12" s="213">
        <f>IF(I12="","",IFERROR(VLOOKUP(I12,Punktar!$A:$B,2,0),""))</f>
        <v>2</v>
      </c>
      <c r="K12" s="212">
        <v>0.83333333333333337</v>
      </c>
      <c r="L12" s="22" t="s">
        <v>278</v>
      </c>
      <c r="M12" s="213">
        <f>IF(L12="","",IFERROR(VLOOKUP(L12,Punktar!$A:$B,2,0),""))</f>
        <v>2</v>
      </c>
      <c r="N12" s="212">
        <v>0.95138888888888884</v>
      </c>
      <c r="O12" s="22" t="s">
        <v>210</v>
      </c>
      <c r="P12" s="213">
        <f>IF(O12="","",IFERROR(VLOOKUP(O12,Punktar!$A:$B,2,0),""))</f>
        <v>1</v>
      </c>
      <c r="Q12" s="212">
        <v>0.9375</v>
      </c>
      <c r="R12" s="22" t="s">
        <v>252</v>
      </c>
      <c r="S12" s="213">
        <f>IF(R12="","",IFERROR(VLOOKUP(R12,Punktar!$A:$B,2,0),""))</f>
        <v>2</v>
      </c>
      <c r="T12" s="212">
        <v>0.87152777777777779</v>
      </c>
      <c r="U12" s="22" t="s">
        <v>219</v>
      </c>
      <c r="V12" s="213">
        <f>IF(U12="","",IFERROR(VLOOKUP(U12,Punktar!$A:$B,2,0),""))</f>
        <v>1</v>
      </c>
      <c r="W12" s="61"/>
    </row>
    <row r="13" spans="1:23" x14ac:dyDescent="0.2">
      <c r="A13" s="228"/>
      <c r="B13" s="212">
        <v>0.85069444444444453</v>
      </c>
      <c r="C13" s="22" t="s">
        <v>226</v>
      </c>
      <c r="D13" s="213">
        <f>IF(C13="","",IFERROR(VLOOKUP(C13,Punktar!$A:$B,2,0),""))</f>
        <v>2</v>
      </c>
      <c r="E13" s="212">
        <v>0.85763888888888884</v>
      </c>
      <c r="F13" s="22" t="s">
        <v>202</v>
      </c>
      <c r="G13" s="213">
        <f>IF(F13="","",IFERROR(VLOOKUP(F13,Punktar!$A:$B,2,0),""))</f>
        <v>3</v>
      </c>
      <c r="H13" s="212">
        <v>0.85416666666666663</v>
      </c>
      <c r="I13" s="22" t="s">
        <v>280</v>
      </c>
      <c r="J13" s="213">
        <f>IF(I13="","",IFERROR(VLOOKUP(I13,Punktar!$A:$B,2,0),""))</f>
        <v>2</v>
      </c>
      <c r="K13" s="212">
        <v>0.87152777777777779</v>
      </c>
      <c r="L13" s="22" t="s">
        <v>190</v>
      </c>
      <c r="M13" s="213">
        <f>IF(L13="","",IFERROR(VLOOKUP(L13,Punktar!$A:$B,2,0),""))</f>
        <v>2</v>
      </c>
      <c r="N13" s="212">
        <v>0.96875</v>
      </c>
      <c r="O13" s="22" t="s">
        <v>210</v>
      </c>
      <c r="P13" s="213">
        <f>IF(O13="","",IFERROR(VLOOKUP(O13,Punktar!$A:$B,2,0),""))</f>
        <v>1</v>
      </c>
      <c r="Q13" s="212" t="s">
        <v>182</v>
      </c>
      <c r="R13" s="22" t="s">
        <v>182</v>
      </c>
      <c r="S13" s="213" t="str">
        <f>IF(R13="","",IFERROR(VLOOKUP(R13,Punktar!$A:$B,2,0),""))</f>
        <v/>
      </c>
      <c r="T13" s="212">
        <v>0.89583333333333337</v>
      </c>
      <c r="U13" s="22" t="s">
        <v>240</v>
      </c>
      <c r="V13" s="213">
        <f>IF(U13="","",IFERROR(VLOOKUP(U13,Punktar!$A:$B,2,0),""))</f>
        <v>2</v>
      </c>
      <c r="W13" s="61"/>
    </row>
    <row r="14" spans="1:23" x14ac:dyDescent="0.2">
      <c r="A14" s="228"/>
      <c r="B14" s="212">
        <v>0.86805555555555547</v>
      </c>
      <c r="C14" s="22" t="s">
        <v>235</v>
      </c>
      <c r="D14" s="213">
        <f>IF(C14="","",IFERROR(VLOOKUP(C14,Punktar!$A:$B,2,0),""))</f>
        <v>2</v>
      </c>
      <c r="E14" s="212">
        <v>0.89236111111111116</v>
      </c>
      <c r="F14" s="22" t="s">
        <v>187</v>
      </c>
      <c r="G14" s="213">
        <f>IF(F14="","",IFERROR(VLOOKUP(F14,Punktar!$A:$B,2,0),""))</f>
        <v>1</v>
      </c>
      <c r="H14" s="212">
        <v>0.87152777777777779</v>
      </c>
      <c r="I14" s="22" t="s">
        <v>242</v>
      </c>
      <c r="J14" s="213">
        <f>IF(I14="","",IFERROR(VLOOKUP(I14,Punktar!$A:$B,2,0),""))</f>
        <v>2</v>
      </c>
      <c r="K14" s="212">
        <v>0.90625</v>
      </c>
      <c r="L14" s="22" t="s">
        <v>243</v>
      </c>
      <c r="M14" s="213">
        <f>IF(L14="","",IFERROR(VLOOKUP(L14,Punktar!$A:$B,2,0),""))</f>
        <v>2</v>
      </c>
      <c r="N14" s="212">
        <v>0.98263888888888884</v>
      </c>
      <c r="O14" s="22" t="s">
        <v>281</v>
      </c>
      <c r="P14" s="213">
        <f>IF(O14="","",IFERROR(VLOOKUP(O14,Punktar!$A:$B,2,0),""))</f>
        <v>2</v>
      </c>
      <c r="Q14" s="212" t="s">
        <v>182</v>
      </c>
      <c r="R14" s="22" t="s">
        <v>182</v>
      </c>
      <c r="S14" s="213" t="str">
        <f>IF(R14="","",IFERROR(VLOOKUP(R14,Punktar!$A:$B,2,0),""))</f>
        <v/>
      </c>
      <c r="T14" s="212">
        <v>0.92708333333333337</v>
      </c>
      <c r="U14" s="22" t="s">
        <v>270</v>
      </c>
      <c r="V14" s="213" t="str">
        <f>IF(U14="","",IFERROR(VLOOKUP(U14,Punktar!$A:$B,2,0),""))</f>
        <v/>
      </c>
      <c r="W14" s="61"/>
    </row>
    <row r="15" spans="1:23" x14ac:dyDescent="0.2">
      <c r="A15" s="228"/>
      <c r="B15" s="212">
        <v>0.89236111111111116</v>
      </c>
      <c r="C15" s="22" t="s">
        <v>210</v>
      </c>
      <c r="D15" s="213">
        <f>IF(C15="","",IFERROR(VLOOKUP(C15,Punktar!$A:$B,2,0),""))</f>
        <v>1</v>
      </c>
      <c r="E15" s="212">
        <v>0.90625</v>
      </c>
      <c r="F15" s="22" t="s">
        <v>210</v>
      </c>
      <c r="G15" s="213">
        <f>IF(F15="","",IFERROR(VLOOKUP(F15,Punktar!$A:$B,2,0),""))</f>
        <v>1</v>
      </c>
      <c r="H15" s="212">
        <v>0.90277777777777779</v>
      </c>
      <c r="I15" s="22" t="s">
        <v>211</v>
      </c>
      <c r="J15" s="213">
        <f>IF(I15="","",IFERROR(VLOOKUP(I15,Punktar!$A:$B,2,0),""))</f>
        <v>2</v>
      </c>
      <c r="K15" s="212">
        <v>0.94097222222222221</v>
      </c>
      <c r="L15" s="22" t="s">
        <v>226</v>
      </c>
      <c r="M15" s="213">
        <f>IF(L15="","",IFERROR(VLOOKUP(L15,Punktar!$A:$B,2,0),""))</f>
        <v>2</v>
      </c>
      <c r="N15" s="212" t="s">
        <v>182</v>
      </c>
      <c r="O15" s="22" t="s">
        <v>182</v>
      </c>
      <c r="P15" s="213" t="str">
        <f>IF(O15="","",IFERROR(VLOOKUP(O15,Punktar!$A:$B,2,0),""))</f>
        <v/>
      </c>
      <c r="Q15" s="212" t="s">
        <v>182</v>
      </c>
      <c r="R15" s="22" t="s">
        <v>182</v>
      </c>
      <c r="S15" s="213" t="str">
        <f>IF(R15="","",IFERROR(VLOOKUP(R15,Punktar!$A:$B,2,0),""))</f>
        <v/>
      </c>
      <c r="T15" s="212">
        <v>0.96180555555555547</v>
      </c>
      <c r="U15" s="22" t="s">
        <v>286</v>
      </c>
      <c r="V15" s="213" t="str">
        <f>IF(U15="","",IFERROR(VLOOKUP(U15,Punktar!$A:$B,2,0),""))</f>
        <v/>
      </c>
      <c r="W15" s="61"/>
    </row>
    <row r="16" spans="1:23" x14ac:dyDescent="0.2">
      <c r="A16" s="228"/>
      <c r="B16" s="212">
        <v>0.90625</v>
      </c>
      <c r="C16" s="22" t="s">
        <v>210</v>
      </c>
      <c r="D16" s="213">
        <f>IF(C16="","",IFERROR(VLOOKUP(C16,Punktar!$A:$B,2,0),""))</f>
        <v>1</v>
      </c>
      <c r="E16" s="212">
        <v>0.92361111111111116</v>
      </c>
      <c r="F16" s="22" t="s">
        <v>210</v>
      </c>
      <c r="G16" s="213">
        <f>IF(F16="","",IFERROR(VLOOKUP(F16,Punktar!$A:$B,2,0),""))</f>
        <v>1</v>
      </c>
      <c r="H16" s="212">
        <v>0.93402777777777779</v>
      </c>
      <c r="I16" s="22" t="s">
        <v>233</v>
      </c>
      <c r="J16" s="213">
        <f>IF(I16="","",IFERROR(VLOOKUP(I16,Punktar!$A:$B,2,0),""))</f>
        <v>5</v>
      </c>
      <c r="K16" s="212">
        <v>0.95833333333333337</v>
      </c>
      <c r="L16" s="22" t="s">
        <v>210</v>
      </c>
      <c r="M16" s="213">
        <f>IF(L16="","",IFERROR(VLOOKUP(L16,Punktar!$A:$B,2,0),""))</f>
        <v>1</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61"/>
    </row>
    <row r="17" spans="1:23" x14ac:dyDescent="0.2">
      <c r="A17" s="228"/>
      <c r="B17" s="212">
        <v>0.92013888888888884</v>
      </c>
      <c r="C17" s="22" t="s">
        <v>255</v>
      </c>
      <c r="D17" s="213" t="str">
        <f>IF(C17="","",IFERROR(VLOOKUP(C17,Punktar!$A:$B,2,0),""))</f>
        <v/>
      </c>
      <c r="E17" s="212">
        <v>0.9375</v>
      </c>
      <c r="F17" s="22" t="s">
        <v>324</v>
      </c>
      <c r="G17" s="213" t="str">
        <f>IF(F17="","",IFERROR(VLOOKUP(F17,Punktar!$A:$B,2,0),""))</f>
        <v/>
      </c>
      <c r="H17" s="212">
        <v>0.96527777777777779</v>
      </c>
      <c r="I17" s="22" t="s">
        <v>210</v>
      </c>
      <c r="J17" s="213">
        <f>IF(I17="","",IFERROR(VLOOKUP(I17,Punktar!$A:$B,2,0),""))</f>
        <v>1</v>
      </c>
      <c r="K17" s="212">
        <v>0.97222222222222221</v>
      </c>
      <c r="L17" s="22" t="s">
        <v>210</v>
      </c>
      <c r="M17" s="213">
        <f>IF(L17="","",IFERROR(VLOOKUP(L17,Punktar!$A:$B,2,0),""))</f>
        <v>1</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v>0.96875</v>
      </c>
      <c r="C18" s="22" t="s">
        <v>284</v>
      </c>
      <c r="D18" s="213" t="str">
        <f>IF(C18="","",IFERROR(VLOOKUP(C18,Punktar!$A:$B,2,0),""))</f>
        <v/>
      </c>
      <c r="E18" s="212">
        <v>0.95486111111111116</v>
      </c>
      <c r="F18" s="22" t="s">
        <v>260</v>
      </c>
      <c r="G18" s="213" t="str">
        <f>IF(F18="","",IFERROR(VLOOKUP(F18,Punktar!$A:$B,2,0),""))</f>
        <v/>
      </c>
      <c r="H18" s="212">
        <v>0.98263888888888884</v>
      </c>
      <c r="I18" s="22" t="s">
        <v>210</v>
      </c>
      <c r="J18" s="213">
        <f>IF(I18="","",IFERROR(VLOOKUP(I18,Punktar!$A:$B,2,0),""))</f>
        <v>1</v>
      </c>
      <c r="K18" s="212">
        <v>0.98958333333333337</v>
      </c>
      <c r="L18" s="22" t="s">
        <v>282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t="s">
        <v>182</v>
      </c>
      <c r="C19" s="22" t="s">
        <v>182</v>
      </c>
      <c r="D19" s="213" t="str">
        <f>IF(C19="","",IFERROR(VLOOKUP(C19,Punktar!$A:$B,2,0),""))</f>
        <v/>
      </c>
      <c r="E19" s="212">
        <v>0.97916666666666663</v>
      </c>
      <c r="F19" s="22" t="s">
        <v>259</v>
      </c>
      <c r="G19" s="213" t="str">
        <f>IF(F19="","",IFERROR(VLOOKUP(F19,Punktar!$A:$B,2,0),""))</f>
        <v/>
      </c>
      <c r="H19" s="212"/>
      <c r="I19" s="22"/>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t="s">
        <v>182</v>
      </c>
      <c r="F20" s="215" t="s">
        <v>182</v>
      </c>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3" priority="1" operator="containsText" text=" YYY">
      <formula>NOT(ISERROR(SEARCH(" YYY",B5)))</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W70"/>
  <sheetViews>
    <sheetView showGridLines="0" showRowColHeaders="0" workbookViewId="0">
      <pane xSplit="1" ySplit="4" topLeftCell="B5" activePane="bottomRight" state="frozen"/>
      <selection activeCell="C10" sqref="C10"/>
      <selection pane="topRight" activeCell="C10" sqref="C10"/>
      <selection pane="bottomLeft" activeCell="C10" sqref="C10"/>
      <selection pane="bottomRight" activeCell="B4" sqref="B4:C4"/>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12"/>
      <c r="B1" s="12"/>
      <c r="C1" s="12"/>
      <c r="D1" s="12"/>
      <c r="E1" s="12"/>
      <c r="F1" s="13"/>
      <c r="G1" s="230" t="str">
        <f>IF('Línuleg verðskrá'!$S$1=1,"Verðskrá Stöðvar 2 | ","Stöð 2 Price List | ")&amp;PROPER(TEXT(DATE(YEAR(MEDIAN(B4,E4,H4,K4,N4,Q4,T4)),MONTH(MEDIAN(B4,E4,H4,K4,N4,Q4,T4)),1),"mmmm yyyy"))&amp;IF('Línuleg verðskrá'!S1=1," | Vika "," | Week ")&amp;_xlfn.ISOWEEKNUM(MEDIAN(B4,E4,H4,K4,N4,Q4,T4))</f>
        <v>Verðskrá Stöðvar 2 | Nóvember 2023 | Vika 44</v>
      </c>
      <c r="H1" s="230"/>
      <c r="I1" s="230"/>
      <c r="J1" s="230"/>
      <c r="K1" s="230"/>
      <c r="L1" s="230"/>
      <c r="M1" s="230"/>
      <c r="N1" s="230"/>
      <c r="O1" s="230"/>
      <c r="P1" s="230"/>
      <c r="Q1" s="230"/>
      <c r="R1" s="230"/>
      <c r="S1" s="230"/>
      <c r="T1" s="21"/>
      <c r="U1" s="77"/>
      <c r="V1" s="14"/>
      <c r="W1" s="1"/>
    </row>
    <row r="2" spans="1:23" ht="11.25" customHeight="1" x14ac:dyDescent="0.2">
      <c r="A2" s="15"/>
      <c r="B2" s="15"/>
      <c r="C2" s="15"/>
      <c r="D2" s="12"/>
      <c r="E2" s="16"/>
      <c r="F2" s="16"/>
      <c r="G2" s="230"/>
      <c r="H2" s="230"/>
      <c r="I2" s="230"/>
      <c r="J2" s="230"/>
      <c r="K2" s="230"/>
      <c r="L2" s="230"/>
      <c r="M2" s="230"/>
      <c r="N2" s="230"/>
      <c r="O2" s="230"/>
      <c r="P2" s="230"/>
      <c r="Q2" s="230"/>
      <c r="R2" s="230"/>
      <c r="S2" s="230"/>
      <c r="T2" s="21"/>
      <c r="U2" s="17"/>
      <c r="V2" s="14"/>
      <c r="W2" s="1"/>
    </row>
    <row r="3" spans="1:23" ht="11.25" customHeight="1" x14ac:dyDescent="0.2">
      <c r="A3" s="15"/>
      <c r="B3" s="15"/>
      <c r="C3" s="15"/>
      <c r="D3" s="18"/>
      <c r="E3" s="12"/>
      <c r="F3" s="13"/>
      <c r="G3" s="231"/>
      <c r="H3" s="231"/>
      <c r="I3" s="231"/>
      <c r="J3" s="231"/>
      <c r="K3" s="231"/>
      <c r="L3" s="231"/>
      <c r="M3" s="231"/>
      <c r="N3" s="231"/>
      <c r="O3" s="231"/>
      <c r="P3" s="231"/>
      <c r="Q3" s="231"/>
      <c r="R3" s="231"/>
      <c r="S3" s="231"/>
      <c r="T3" s="12"/>
      <c r="U3" s="13"/>
      <c r="V3" s="13"/>
      <c r="W3" s="1"/>
    </row>
    <row r="4" spans="1:23" x14ac:dyDescent="0.2">
      <c r="A4" s="217"/>
      <c r="B4" s="232">
        <f>'Vika 43'!T4+1</f>
        <v>45229</v>
      </c>
      <c r="C4" s="226"/>
      <c r="D4" s="218" t="s">
        <v>44</v>
      </c>
      <c r="E4" s="232">
        <f>B4+1</f>
        <v>45230</v>
      </c>
      <c r="F4" s="226"/>
      <c r="G4" s="219" t="s">
        <v>44</v>
      </c>
      <c r="H4" s="226">
        <f>E4+1</f>
        <v>45231</v>
      </c>
      <c r="I4" s="226"/>
      <c r="J4" s="218" t="s">
        <v>44</v>
      </c>
      <c r="K4" s="232">
        <f>H4+1</f>
        <v>45232</v>
      </c>
      <c r="L4" s="226"/>
      <c r="M4" s="219" t="s">
        <v>44</v>
      </c>
      <c r="N4" s="226">
        <f>K4+1</f>
        <v>45233</v>
      </c>
      <c r="O4" s="226"/>
      <c r="P4" s="218" t="s">
        <v>44</v>
      </c>
      <c r="Q4" s="232">
        <f>N4+1</f>
        <v>45234</v>
      </c>
      <c r="R4" s="226"/>
      <c r="S4" s="219" t="s">
        <v>44</v>
      </c>
      <c r="T4" s="226">
        <f>Q4+1</f>
        <v>45235</v>
      </c>
      <c r="U4" s="226"/>
      <c r="V4" s="219" t="s">
        <v>44</v>
      </c>
      <c r="W4" s="61"/>
    </row>
    <row r="5" spans="1:23" ht="11.25" customHeight="1" x14ac:dyDescent="0.2">
      <c r="A5" s="227" t="s">
        <v>12</v>
      </c>
      <c r="B5" s="209">
        <v>0.72916666666666663</v>
      </c>
      <c r="C5" s="210" t="s">
        <v>35</v>
      </c>
      <c r="D5" s="211">
        <f>IF(C5="","",IFERROR(VLOOKUP(C5,Punktar!$A:$B,2,0),""))</f>
        <v>1</v>
      </c>
      <c r="E5" s="209">
        <v>0.72916666666666663</v>
      </c>
      <c r="F5" s="210" t="s">
        <v>35</v>
      </c>
      <c r="G5" s="211">
        <f>IF(F5="","",IFERROR(VLOOKUP(F5,Punktar!$A:$B,2,0),""))</f>
        <v>1</v>
      </c>
      <c r="H5" s="209">
        <v>0.72916666666666663</v>
      </c>
      <c r="I5" s="210" t="s">
        <v>35</v>
      </c>
      <c r="J5" s="211">
        <f>IF(I5="","",IFERROR(VLOOKUP(I5,Punktar!$A:$B,2,0),""))</f>
        <v>1</v>
      </c>
      <c r="K5" s="209">
        <v>0.72916666666666663</v>
      </c>
      <c r="L5" s="210" t="s">
        <v>35</v>
      </c>
      <c r="M5" s="211">
        <f>IF(L5="","",IFERROR(VLOOKUP(L5,Punktar!$A:$B,2,0),""))</f>
        <v>1</v>
      </c>
      <c r="N5" s="209">
        <v>0.75</v>
      </c>
      <c r="O5" s="210" t="s">
        <v>35</v>
      </c>
      <c r="P5" s="211">
        <f>IF(O5="","",IFERROR(VLOOKUP(O5,Punktar!$A:$B,2,0),""))</f>
        <v>1</v>
      </c>
      <c r="Q5" s="209">
        <v>0.76736111111111116</v>
      </c>
      <c r="R5" s="210" t="s">
        <v>152</v>
      </c>
      <c r="S5" s="211">
        <f>IF(R5="","",IFERROR(VLOOKUP(R5,Punktar!$A:$B,2,0),""))</f>
        <v>3</v>
      </c>
      <c r="T5" s="209">
        <v>0.73611111111111116</v>
      </c>
      <c r="U5" s="210" t="s">
        <v>98</v>
      </c>
      <c r="V5" s="211">
        <f>IF(U5="","",IFERROR(VLOOKUP(U5,Punktar!$A:$B,2,0),""))</f>
        <v>1</v>
      </c>
      <c r="W5" s="61"/>
    </row>
    <row r="6" spans="1:23" x14ac:dyDescent="0.2">
      <c r="A6" s="228"/>
      <c r="B6" s="212">
        <v>0.74305555555555547</v>
      </c>
      <c r="C6" s="22" t="s">
        <v>277</v>
      </c>
      <c r="D6" s="213">
        <f>IF(C6="","",IFERROR(VLOOKUP(C6,Punktar!$A:$B,2,0),""))</f>
        <v>2</v>
      </c>
      <c r="E6" s="212">
        <v>0.74305555555555547</v>
      </c>
      <c r="F6" s="22" t="s">
        <v>277</v>
      </c>
      <c r="G6" s="213">
        <f>IF(F6="","",IFERROR(VLOOKUP(F6,Punktar!$A:$B,2,0),""))</f>
        <v>2</v>
      </c>
      <c r="H6" s="212">
        <v>0.74305555555555547</v>
      </c>
      <c r="I6" s="22" t="s">
        <v>277</v>
      </c>
      <c r="J6" s="213">
        <f>IF(I6="","",IFERROR(VLOOKUP(I6,Punktar!$A:$B,2,0),""))</f>
        <v>2</v>
      </c>
      <c r="K6" s="212">
        <v>0.76736111111111116</v>
      </c>
      <c r="L6" s="22" t="s">
        <v>152</v>
      </c>
      <c r="M6" s="213">
        <f>IF(L6="","",IFERROR(VLOOKUP(L6,Punktar!$A:$B,2,0),""))</f>
        <v>3</v>
      </c>
      <c r="N6" s="212">
        <v>0.76736111111111116</v>
      </c>
      <c r="O6" s="22" t="s">
        <v>152</v>
      </c>
      <c r="P6" s="213">
        <f>IF(O6="","",IFERROR(VLOOKUP(O6,Punktar!$A:$B,2,0),""))</f>
        <v>3</v>
      </c>
      <c r="Q6" s="212">
        <v>0.77083333333333337</v>
      </c>
      <c r="R6" s="22" t="s">
        <v>37</v>
      </c>
      <c r="S6" s="213">
        <f>IF(R6="","",IFERROR(VLOOKUP(R6,Punktar!$A:$B,2,0),""))</f>
        <v>8</v>
      </c>
      <c r="T6" s="212">
        <v>0.76736111111111116</v>
      </c>
      <c r="U6" s="22" t="s">
        <v>152</v>
      </c>
      <c r="V6" s="213">
        <f>IF(U6="","",IFERROR(VLOOKUP(U6,Punktar!$A:$B,2,0),""))</f>
        <v>3</v>
      </c>
      <c r="W6" s="61"/>
    </row>
    <row r="7" spans="1:23" x14ac:dyDescent="0.2">
      <c r="A7" s="228"/>
      <c r="B7" s="212">
        <v>0.76736111111111116</v>
      </c>
      <c r="C7" s="22" t="s">
        <v>152</v>
      </c>
      <c r="D7" s="213">
        <f>IF(C7="","",IFERROR(VLOOKUP(C7,Punktar!$A:$B,2,0),""))</f>
        <v>3</v>
      </c>
      <c r="E7" s="212">
        <v>0.76736111111111116</v>
      </c>
      <c r="F7" s="22" t="s">
        <v>152</v>
      </c>
      <c r="G7" s="213">
        <f>IF(F7="","",IFERROR(VLOOKUP(F7,Punktar!$A:$B,2,0),""))</f>
        <v>3</v>
      </c>
      <c r="H7" s="212">
        <v>0.76736111111111116</v>
      </c>
      <c r="I7" s="22" t="s">
        <v>152</v>
      </c>
      <c r="J7" s="213">
        <f>IF(I7="","",IFERROR(VLOOKUP(I7,Punktar!$A:$B,2,0),""))</f>
        <v>3</v>
      </c>
      <c r="K7" s="212">
        <v>0.77083333333333337</v>
      </c>
      <c r="L7" s="22" t="s">
        <v>37</v>
      </c>
      <c r="M7" s="213">
        <f>IF(L7="","",IFERROR(VLOOKUP(L7,Punktar!$A:$B,2,0),""))</f>
        <v>8</v>
      </c>
      <c r="N7" s="212">
        <v>0.77083333333333337</v>
      </c>
      <c r="O7" s="22" t="s">
        <v>37</v>
      </c>
      <c r="P7" s="213">
        <f>IF(O7="","",IFERROR(VLOOKUP(O7,Punktar!$A:$B,2,0),""))</f>
        <v>8</v>
      </c>
      <c r="Q7" s="212">
        <v>0.78472222222222221</v>
      </c>
      <c r="R7" s="22" t="s">
        <v>36</v>
      </c>
      <c r="S7" s="213">
        <f>IF(R7="","",IFERROR(VLOOKUP(R7,Punktar!$A:$B,2,0),""))</f>
        <v>6</v>
      </c>
      <c r="T7" s="212">
        <v>0.77083333333333337</v>
      </c>
      <c r="U7" s="22" t="s">
        <v>37</v>
      </c>
      <c r="V7" s="213">
        <f>IF(U7="","",IFERROR(VLOOKUP(U7,Punktar!$A:$B,2,0),""))</f>
        <v>8</v>
      </c>
      <c r="W7" s="61"/>
    </row>
    <row r="8" spans="1:23" x14ac:dyDescent="0.2">
      <c r="A8" s="228"/>
      <c r="B8" s="212">
        <v>0.77083333333333337</v>
      </c>
      <c r="C8" s="22" t="s">
        <v>37</v>
      </c>
      <c r="D8" s="213">
        <f>IF(C8="","",IFERROR(VLOOKUP(C8,Punktar!$A:$B,2,0),""))</f>
        <v>8</v>
      </c>
      <c r="E8" s="212">
        <v>0.77083333333333337</v>
      </c>
      <c r="F8" s="22" t="s">
        <v>37</v>
      </c>
      <c r="G8" s="213">
        <f>IF(F8="","",IFERROR(VLOOKUP(F8,Punktar!$A:$B,2,0),""))</f>
        <v>8</v>
      </c>
      <c r="H8" s="212">
        <v>0.77083333333333337</v>
      </c>
      <c r="I8" s="22" t="s">
        <v>37</v>
      </c>
      <c r="J8" s="213">
        <f>IF(I8="","",IFERROR(VLOOKUP(I8,Punktar!$A:$B,2,0),""))</f>
        <v>8</v>
      </c>
      <c r="K8" s="212">
        <v>0.78472222222222221</v>
      </c>
      <c r="L8" s="22" t="s">
        <v>36</v>
      </c>
      <c r="M8" s="213">
        <f>IF(L8="","",IFERROR(VLOOKUP(L8,Punktar!$A:$B,2,0),""))</f>
        <v>6</v>
      </c>
      <c r="N8" s="212">
        <v>0.78472222222222221</v>
      </c>
      <c r="O8" s="22" t="s">
        <v>36</v>
      </c>
      <c r="P8" s="213">
        <f>IF(O8="","",IFERROR(VLOOKUP(O8,Punktar!$A:$B,2,0),""))</f>
        <v>6</v>
      </c>
      <c r="Q8" s="212">
        <v>0.78819444444444453</v>
      </c>
      <c r="R8" s="22" t="s">
        <v>212</v>
      </c>
      <c r="S8" s="213">
        <f>IF(R8="","",IFERROR(VLOOKUP(R8,Punktar!$A:$B,2,0),""))</f>
        <v>5</v>
      </c>
      <c r="T8" s="212">
        <v>0.78472222222222221</v>
      </c>
      <c r="U8" s="22" t="s">
        <v>36</v>
      </c>
      <c r="V8" s="213">
        <f>IF(U8="","",IFERROR(VLOOKUP(U8,Punktar!$A:$B,2,0),""))</f>
        <v>6</v>
      </c>
      <c r="W8" s="61"/>
    </row>
    <row r="9" spans="1:23" x14ac:dyDescent="0.2">
      <c r="A9" s="228"/>
      <c r="B9" s="212">
        <v>0.78472222222222221</v>
      </c>
      <c r="C9" s="22" t="s">
        <v>36</v>
      </c>
      <c r="D9" s="213">
        <f>IF(C9="","",IFERROR(VLOOKUP(C9,Punktar!$A:$B,2,0),""))</f>
        <v>6</v>
      </c>
      <c r="E9" s="212">
        <v>0.78472222222222221</v>
      </c>
      <c r="F9" s="22" t="s">
        <v>36</v>
      </c>
      <c r="G9" s="213">
        <f>IF(F9="","",IFERROR(VLOOKUP(F9,Punktar!$A:$B,2,0),""))</f>
        <v>6</v>
      </c>
      <c r="H9" s="212">
        <v>0.78472222222222221</v>
      </c>
      <c r="I9" s="22" t="s">
        <v>36</v>
      </c>
      <c r="J9" s="213">
        <f>IF(I9="","",IFERROR(VLOOKUP(I9,Punktar!$A:$B,2,0),""))</f>
        <v>6</v>
      </c>
      <c r="K9" s="212">
        <v>0.78819444444444453</v>
      </c>
      <c r="L9" s="22" t="s">
        <v>148</v>
      </c>
      <c r="M9" s="213" t="str">
        <f>IF(L9="","",IFERROR(VLOOKUP(L9,Punktar!$A:$B,2,0),""))</f>
        <v>-</v>
      </c>
      <c r="N9" s="212">
        <v>0.78819444444444453</v>
      </c>
      <c r="O9" s="22" t="s">
        <v>218</v>
      </c>
      <c r="P9" s="213">
        <f>IF(O9="","",IFERROR(VLOOKUP(O9,Punktar!$A:$B,2,0),""))</f>
        <v>2</v>
      </c>
      <c r="Q9" s="212"/>
      <c r="R9" s="22" t="s">
        <v>253</v>
      </c>
      <c r="S9" s="213">
        <f>IF(R9="","",IFERROR(VLOOKUP(R9,Punktar!$A:$B,2,0),""))</f>
        <v>6</v>
      </c>
      <c r="T9" s="212">
        <v>0.79166666666666663</v>
      </c>
      <c r="U9" s="22" t="s">
        <v>233</v>
      </c>
      <c r="V9" s="213">
        <f>IF(U9="","",IFERROR(VLOOKUP(U9,Punktar!$A:$B,2,0),""))</f>
        <v>5</v>
      </c>
      <c r="W9" s="61"/>
    </row>
    <row r="10" spans="1:23" x14ac:dyDescent="0.2">
      <c r="A10" s="228"/>
      <c r="B10" s="212">
        <v>0.78819444444444453</v>
      </c>
      <c r="C10" s="22" t="s">
        <v>148</v>
      </c>
      <c r="D10" s="213" t="str">
        <f>IF(C10="","",IFERROR(VLOOKUP(C10,Punktar!$A:$B,2,0),""))</f>
        <v>-</v>
      </c>
      <c r="E10" s="212">
        <v>0.78819444444444453</v>
      </c>
      <c r="F10" s="22" t="s">
        <v>148</v>
      </c>
      <c r="G10" s="213" t="str">
        <f>IF(F10="","",IFERROR(VLOOKUP(F10,Punktar!$A:$B,2,0),""))</f>
        <v>-</v>
      </c>
      <c r="H10" s="212">
        <v>0.78819444444444453</v>
      </c>
      <c r="I10" s="22" t="s">
        <v>148</v>
      </c>
      <c r="J10" s="213" t="str">
        <f>IF(I10="","",IFERROR(VLOOKUP(I10,Punktar!$A:$B,2,0),""))</f>
        <v>-</v>
      </c>
      <c r="K10" s="212">
        <v>0.79861111111111116</v>
      </c>
      <c r="L10" s="22" t="s">
        <v>203</v>
      </c>
      <c r="M10" s="213">
        <f>IF(L10="","",IFERROR(VLOOKUP(L10,Punktar!$A:$B,2,0),""))</f>
        <v>2</v>
      </c>
      <c r="N10" s="212">
        <v>0.81944444444444453</v>
      </c>
      <c r="O10" s="22" t="s">
        <v>309</v>
      </c>
      <c r="P10" s="213">
        <f>IF(O10="","",IFERROR(VLOOKUP(O10,Punktar!$A:$B,2,0),""))</f>
        <v>2</v>
      </c>
      <c r="Q10" s="212">
        <v>0.81944444444444453</v>
      </c>
      <c r="R10" s="22" t="s">
        <v>307</v>
      </c>
      <c r="S10" s="213">
        <f>IF(R10="","",IFERROR(VLOOKUP(R10,Punktar!$A:$B,2,0),""))</f>
        <v>3</v>
      </c>
      <c r="T10" s="212">
        <v>0.82291666666666663</v>
      </c>
      <c r="U10" s="22" t="s">
        <v>234</v>
      </c>
      <c r="V10" s="213">
        <f>IF(U10="","",IFERROR(VLOOKUP(U10,Punktar!$A:$B,2,0),""))</f>
        <v>2</v>
      </c>
      <c r="W10" s="61"/>
    </row>
    <row r="11" spans="1:23" x14ac:dyDescent="0.2">
      <c r="A11" s="228"/>
      <c r="B11" s="212">
        <v>0.79861111111111116</v>
      </c>
      <c r="C11" s="22" t="s">
        <v>225</v>
      </c>
      <c r="D11" s="213">
        <f>IF(C11="","",IFERROR(VLOOKUP(C11,Punktar!$A:$B,2,0),""))</f>
        <v>4</v>
      </c>
      <c r="E11" s="212">
        <v>0.79861111111111116</v>
      </c>
      <c r="F11" s="22" t="s">
        <v>227</v>
      </c>
      <c r="G11" s="213">
        <f>IF(F11="","",IFERROR(VLOOKUP(F11,Punktar!$A:$B,2,0),""))</f>
        <v>3</v>
      </c>
      <c r="H11" s="212">
        <v>0.79861111111111116</v>
      </c>
      <c r="I11" s="22" t="s">
        <v>308</v>
      </c>
      <c r="J11" s="213">
        <f>IF(I11="","",IFERROR(VLOOKUP(I11,Punktar!$A:$B,2,0),""))</f>
        <v>3</v>
      </c>
      <c r="K11" s="212">
        <v>0.83333333333333337</v>
      </c>
      <c r="L11" s="22" t="s">
        <v>278</v>
      </c>
      <c r="M11" s="213">
        <f>IF(L11="","",IFERROR(VLOOKUP(L11,Punktar!$A:$B,2,0),""))</f>
        <v>2</v>
      </c>
      <c r="N11" s="212">
        <v>0.92013888888888884</v>
      </c>
      <c r="O11" s="22" t="s">
        <v>231</v>
      </c>
      <c r="P11" s="213">
        <f>IF(O11="","",IFERROR(VLOOKUP(O11,Punktar!$A:$B,2,0),""))</f>
        <v>2</v>
      </c>
      <c r="Q11" s="212">
        <v>0.86458333333333337</v>
      </c>
      <c r="R11" s="22" t="s">
        <v>238</v>
      </c>
      <c r="S11" s="213">
        <f>IF(R11="","",IFERROR(VLOOKUP(R11,Punktar!$A:$B,2,0),""))</f>
        <v>2</v>
      </c>
      <c r="T11" s="212">
        <v>0.86805555555555547</v>
      </c>
      <c r="U11" s="22" t="s">
        <v>219</v>
      </c>
      <c r="V11" s="213">
        <f>IF(U11="","",IFERROR(VLOOKUP(U11,Punktar!$A:$B,2,0),""))</f>
        <v>1</v>
      </c>
      <c r="W11" s="61"/>
    </row>
    <row r="12" spans="1:23" x14ac:dyDescent="0.2">
      <c r="A12" s="228"/>
      <c r="B12" s="212">
        <v>0.81597222222222221</v>
      </c>
      <c r="C12" s="22" t="s">
        <v>241</v>
      </c>
      <c r="D12" s="213">
        <f>IF(C12="","",IFERROR(VLOOKUP(C12,Punktar!$A:$B,2,0),""))</f>
        <v>2</v>
      </c>
      <c r="E12" s="212">
        <v>0.82638888888888884</v>
      </c>
      <c r="F12" s="22" t="s">
        <v>186</v>
      </c>
      <c r="G12" s="213">
        <f>IF(F12="","",IFERROR(VLOOKUP(F12,Punktar!$A:$B,2,0),""))</f>
        <v>2</v>
      </c>
      <c r="H12" s="212">
        <v>0.81597222222222221</v>
      </c>
      <c r="I12" s="22" t="s">
        <v>195</v>
      </c>
      <c r="J12" s="213">
        <f>IF(I12="","",IFERROR(VLOOKUP(I12,Punktar!$A:$B,2,0),""))</f>
        <v>2</v>
      </c>
      <c r="K12" s="212">
        <v>0.87152777777777779</v>
      </c>
      <c r="L12" s="22" t="s">
        <v>190</v>
      </c>
      <c r="M12" s="213">
        <f>IF(L12="","",IFERROR(VLOOKUP(L12,Punktar!$A:$B,2,0),""))</f>
        <v>2</v>
      </c>
      <c r="N12" s="212">
        <v>0.98958333333333337</v>
      </c>
      <c r="O12" s="22" t="s">
        <v>310</v>
      </c>
      <c r="P12" s="213">
        <f>IF(O12="","",IFERROR(VLOOKUP(O12,Punktar!$A:$B,2,0),""))</f>
        <v>2</v>
      </c>
      <c r="Q12" s="212">
        <v>0.93402777777777779</v>
      </c>
      <c r="R12" s="22" t="s">
        <v>311</v>
      </c>
      <c r="S12" s="213">
        <f>IF(R12="","",IFERROR(VLOOKUP(R12,Punktar!$A:$B,2,0),""))</f>
        <v>2</v>
      </c>
      <c r="T12" s="212">
        <v>0.88541666666666663</v>
      </c>
      <c r="U12" s="22" t="s">
        <v>240</v>
      </c>
      <c r="V12" s="213">
        <f>IF(U12="","",IFERROR(VLOOKUP(U12,Punktar!$A:$B,2,0),""))</f>
        <v>2</v>
      </c>
      <c r="W12" s="61"/>
    </row>
    <row r="13" spans="1:23" x14ac:dyDescent="0.2">
      <c r="A13" s="228"/>
      <c r="B13" s="212">
        <v>0.85069444444444453</v>
      </c>
      <c r="C13" s="22" t="s">
        <v>226</v>
      </c>
      <c r="D13" s="213">
        <f>IF(C13="","",IFERROR(VLOOKUP(C13,Punktar!$A:$B,2,0),""))</f>
        <v>2</v>
      </c>
      <c r="E13" s="212">
        <v>0.85763888888888884</v>
      </c>
      <c r="F13" s="22" t="s">
        <v>202</v>
      </c>
      <c r="G13" s="213">
        <f>IF(F13="","",IFERROR(VLOOKUP(F13,Punktar!$A:$B,2,0),""))</f>
        <v>3</v>
      </c>
      <c r="H13" s="212">
        <v>0.85069444444444453</v>
      </c>
      <c r="I13" s="22" t="s">
        <v>280</v>
      </c>
      <c r="J13" s="213">
        <f>IF(I13="","",IFERROR(VLOOKUP(I13,Punktar!$A:$B,2,0),""))</f>
        <v>2</v>
      </c>
      <c r="K13" s="212">
        <v>0.89930555555555547</v>
      </c>
      <c r="L13" s="22" t="s">
        <v>243</v>
      </c>
      <c r="M13" s="213">
        <f>IF(L13="","",IFERROR(VLOOKUP(L13,Punktar!$A:$B,2,0),""))</f>
        <v>2</v>
      </c>
      <c r="N13" s="212" t="s">
        <v>182</v>
      </c>
      <c r="O13" s="22" t="s">
        <v>182</v>
      </c>
      <c r="P13" s="213" t="str">
        <f>IF(O13="","",IFERROR(VLOOKUP(O13,Punktar!$A:$B,2,0),""))</f>
        <v/>
      </c>
      <c r="Q13" s="212">
        <v>0.99305555555555547</v>
      </c>
      <c r="R13" s="22" t="s">
        <v>312</v>
      </c>
      <c r="S13" s="213">
        <f>IF(R13="","",IFERROR(VLOOKUP(R13,Punktar!$A:$B,2,0),""))</f>
        <v>2</v>
      </c>
      <c r="T13" s="212">
        <v>0.92013888888888884</v>
      </c>
      <c r="U13" s="22" t="s">
        <v>270</v>
      </c>
      <c r="V13" s="213" t="str">
        <f>IF(U13="","",IFERROR(VLOOKUP(U13,Punktar!$A:$B,2,0),""))</f>
        <v/>
      </c>
      <c r="W13" s="61"/>
    </row>
    <row r="14" spans="1:23" x14ac:dyDescent="0.2">
      <c r="A14" s="228"/>
      <c r="B14" s="212">
        <v>0.87152777777777779</v>
      </c>
      <c r="C14" s="22" t="s">
        <v>235</v>
      </c>
      <c r="D14" s="213">
        <f>IF(C14="","",IFERROR(VLOOKUP(C14,Punktar!$A:$B,2,0),""))</f>
        <v>2</v>
      </c>
      <c r="E14" s="212">
        <v>0.89236111111111116</v>
      </c>
      <c r="F14" s="22" t="s">
        <v>187</v>
      </c>
      <c r="G14" s="213">
        <f>IF(F14="","",IFERROR(VLOOKUP(F14,Punktar!$A:$B,2,0),""))</f>
        <v>1</v>
      </c>
      <c r="H14" s="212">
        <v>0.86805555555555547</v>
      </c>
      <c r="I14" s="22" t="s">
        <v>242</v>
      </c>
      <c r="J14" s="213">
        <f>IF(I14="","",IFERROR(VLOOKUP(I14,Punktar!$A:$B,2,0),""))</f>
        <v>2</v>
      </c>
      <c r="K14" s="212">
        <v>0.9375</v>
      </c>
      <c r="L14" s="22" t="s">
        <v>210</v>
      </c>
      <c r="M14" s="213">
        <f>IF(L14="","",IFERROR(VLOOKUP(L14,Punktar!$A:$B,2,0),""))</f>
        <v>1</v>
      </c>
      <c r="N14" s="212" t="s">
        <v>182</v>
      </c>
      <c r="O14" s="22" t="s">
        <v>182</v>
      </c>
      <c r="P14" s="213" t="str">
        <f>IF(O14="","",IFERROR(VLOOKUP(O14,Punktar!$A:$B,2,0),""))</f>
        <v/>
      </c>
      <c r="Q14" s="212" t="s">
        <v>182</v>
      </c>
      <c r="R14" s="22" t="s">
        <v>182</v>
      </c>
      <c r="S14" s="213" t="str">
        <f>IF(R14="","",IFERROR(VLOOKUP(R14,Punktar!$A:$B,2,0),""))</f>
        <v/>
      </c>
      <c r="T14" s="212">
        <v>0.95486111111111116</v>
      </c>
      <c r="U14" s="22" t="s">
        <v>286</v>
      </c>
      <c r="V14" s="213" t="str">
        <f>IF(U14="","",IFERROR(VLOOKUP(U14,Punktar!$A:$B,2,0),""))</f>
        <v/>
      </c>
      <c r="W14" s="61"/>
    </row>
    <row r="15" spans="1:23" x14ac:dyDescent="0.2">
      <c r="A15" s="228"/>
      <c r="B15" s="212">
        <v>0.89236111111111116</v>
      </c>
      <c r="C15" s="22" t="s">
        <v>210</v>
      </c>
      <c r="D15" s="213">
        <f>IF(C15="","",IFERROR(VLOOKUP(C15,Punktar!$A:$B,2,0),""))</f>
        <v>1</v>
      </c>
      <c r="E15" s="212">
        <v>0.90972222222222221</v>
      </c>
      <c r="F15" s="22" t="s">
        <v>210</v>
      </c>
      <c r="G15" s="213">
        <f>IF(F15="","",IFERROR(VLOOKUP(F15,Punktar!$A:$B,2,0),""))</f>
        <v>1</v>
      </c>
      <c r="H15" s="212">
        <v>0.89930555555555547</v>
      </c>
      <c r="I15" s="22" t="s">
        <v>211</v>
      </c>
      <c r="J15" s="213">
        <f>IF(I15="","",IFERROR(VLOOKUP(I15,Punktar!$A:$B,2,0),""))</f>
        <v>2</v>
      </c>
      <c r="K15" s="212">
        <v>0.95138888888888884</v>
      </c>
      <c r="L15" s="22" t="s">
        <v>210</v>
      </c>
      <c r="M15" s="213">
        <f>IF(L15="","",IFERROR(VLOOKUP(L15,Punktar!$A:$B,2,0),""))</f>
        <v>1</v>
      </c>
      <c r="N15" s="212" t="s">
        <v>182</v>
      </c>
      <c r="O15" s="22" t="s">
        <v>182</v>
      </c>
      <c r="P15" s="213" t="str">
        <f>IF(O15="","",IFERROR(VLOOKUP(O15,Punktar!$A:$B,2,0),""))</f>
        <v/>
      </c>
      <c r="Q15" s="212" t="s">
        <v>182</v>
      </c>
      <c r="R15" s="22" t="s">
        <v>182</v>
      </c>
      <c r="S15" s="213" t="str">
        <f>IF(R15="","",IFERROR(VLOOKUP(R15,Punktar!$A:$B,2,0),""))</f>
        <v/>
      </c>
      <c r="T15" s="212" t="s">
        <v>182</v>
      </c>
      <c r="U15" s="22" t="s">
        <v>182</v>
      </c>
      <c r="V15" s="213" t="str">
        <f>IF(U15="","",IFERROR(VLOOKUP(U15,Punktar!$A:$B,2,0),""))</f>
        <v/>
      </c>
      <c r="W15" s="61"/>
    </row>
    <row r="16" spans="1:23" x14ac:dyDescent="0.2">
      <c r="A16" s="228"/>
      <c r="B16" s="212">
        <v>0.90972222222222221</v>
      </c>
      <c r="C16" s="22" t="s">
        <v>210</v>
      </c>
      <c r="D16" s="213">
        <f>IF(C16="","",IFERROR(VLOOKUP(C16,Punktar!$A:$B,2,0),""))</f>
        <v>1</v>
      </c>
      <c r="E16" s="212">
        <v>0.92361111111111116</v>
      </c>
      <c r="F16" s="22" t="s">
        <v>210</v>
      </c>
      <c r="G16" s="213">
        <f>IF(F16="","",IFERROR(VLOOKUP(F16,Punktar!$A:$B,2,0),""))</f>
        <v>1</v>
      </c>
      <c r="H16" s="212">
        <v>0.93055555555555547</v>
      </c>
      <c r="I16" s="22" t="s">
        <v>233</v>
      </c>
      <c r="J16" s="213">
        <f>IF(I16="","",IFERROR(VLOOKUP(I16,Punktar!$A:$B,2,0),""))</f>
        <v>5</v>
      </c>
      <c r="K16" s="212"/>
      <c r="L16" s="22"/>
      <c r="M16" s="213" t="str">
        <f>IF(L16="","",IFERROR(VLOOKUP(L16,Punktar!$A:$B,2,0),""))</f>
        <v/>
      </c>
      <c r="N16" s="212" t="s">
        <v>182</v>
      </c>
      <c r="O16" s="22" t="s">
        <v>182</v>
      </c>
      <c r="P16" s="213" t="str">
        <f>IF(O16="","",IFERROR(VLOOKUP(O16,Punktar!$A:$B,2,0),""))</f>
        <v/>
      </c>
      <c r="Q16" s="212" t="s">
        <v>182</v>
      </c>
      <c r="R16" s="22" t="s">
        <v>182</v>
      </c>
      <c r="S16" s="213" t="str">
        <f>IF(R16="","",IFERROR(VLOOKUP(R16,Punktar!$A:$B,2,0),""))</f>
        <v/>
      </c>
      <c r="T16" s="212" t="s">
        <v>182</v>
      </c>
      <c r="U16" s="22" t="s">
        <v>182</v>
      </c>
      <c r="V16" s="213" t="str">
        <f>IF(U16="","",IFERROR(VLOOKUP(U16,Punktar!$A:$B,2,0),""))</f>
        <v/>
      </c>
      <c r="W16" s="61"/>
    </row>
    <row r="17" spans="1:23" x14ac:dyDescent="0.2">
      <c r="A17" s="228"/>
      <c r="B17" s="212">
        <v>0.92361111111111116</v>
      </c>
      <c r="C17" s="22" t="s">
        <v>255</v>
      </c>
      <c r="D17" s="213" t="str">
        <f>IF(C17="","",IFERROR(VLOOKUP(C17,Punktar!$A:$B,2,0),""))</f>
        <v/>
      </c>
      <c r="E17" s="212">
        <v>0.94444444444444453</v>
      </c>
      <c r="F17" s="22" t="s">
        <v>324</v>
      </c>
      <c r="G17" s="213" t="str">
        <f>IF(F17="","",IFERROR(VLOOKUP(F17,Punktar!$A:$B,2,0),""))</f>
        <v/>
      </c>
      <c r="H17" s="212">
        <v>0.96180555555555547</v>
      </c>
      <c r="I17" s="22" t="s">
        <v>210</v>
      </c>
      <c r="J17" s="213">
        <f>IF(I17="","",IFERROR(VLOOKUP(I17,Punktar!$A:$B,2,0),""))</f>
        <v>1</v>
      </c>
      <c r="K17" s="212"/>
      <c r="L17" s="22"/>
      <c r="M17" s="213" t="str">
        <f>IF(L17="","",IFERROR(VLOOKUP(L17,Punktar!$A:$B,2,0),""))</f>
        <v/>
      </c>
      <c r="N17" s="212" t="s">
        <v>182</v>
      </c>
      <c r="O17" s="22" t="s">
        <v>182</v>
      </c>
      <c r="P17" s="213" t="str">
        <f>IF(O17="","",IFERROR(VLOOKUP(O17,Punktar!$A:$B,2,0),""))</f>
        <v/>
      </c>
      <c r="Q17" s="212" t="s">
        <v>182</v>
      </c>
      <c r="R17" s="22" t="s">
        <v>182</v>
      </c>
      <c r="S17" s="213" t="str">
        <f>IF(R17="","",IFERROR(VLOOKUP(R17,Punktar!$A:$B,2,0),""))</f>
        <v/>
      </c>
      <c r="T17" s="212" t="s">
        <v>182</v>
      </c>
      <c r="U17" s="22" t="s">
        <v>182</v>
      </c>
      <c r="V17" s="213" t="str">
        <f>IF(U17="","",IFERROR(VLOOKUP(U17,Punktar!$A:$B,2,0),""))</f>
        <v/>
      </c>
      <c r="W17" s="61"/>
    </row>
    <row r="18" spans="1:23" x14ac:dyDescent="0.2">
      <c r="A18" s="228"/>
      <c r="B18" s="212"/>
      <c r="C18" s="22"/>
      <c r="D18" s="213" t="str">
        <f>IF(C18="","",IFERROR(VLOOKUP(C18,Punktar!$A:$B,2,0),""))</f>
        <v/>
      </c>
      <c r="E18" s="212">
        <v>0.96180555555555547</v>
      </c>
      <c r="F18" s="22" t="s">
        <v>259</v>
      </c>
      <c r="G18" s="213" t="str">
        <f>IF(F18="","",IFERROR(VLOOKUP(F18,Punktar!$A:$B,2,0),""))</f>
        <v/>
      </c>
      <c r="H18" s="212">
        <v>0.97569444444444453</v>
      </c>
      <c r="I18" s="22" t="s">
        <v>210</v>
      </c>
      <c r="J18" s="213">
        <f>IF(I18="","",IFERROR(VLOOKUP(I18,Punktar!$A:$B,2,0),""))</f>
        <v>1</v>
      </c>
      <c r="K18" s="212" t="s">
        <v>182</v>
      </c>
      <c r="L18" s="22" t="s">
        <v>182</v>
      </c>
      <c r="M18" s="213" t="str">
        <f>IF(L18="","",IFERROR(VLOOKUP(L18,Punktar!$A:$B,2,0),""))</f>
        <v/>
      </c>
      <c r="N18" s="212" t="s">
        <v>182</v>
      </c>
      <c r="O18" s="22" t="s">
        <v>182</v>
      </c>
      <c r="P18" s="213" t="str">
        <f>IF(O18="","",IFERROR(VLOOKUP(O18,Punktar!$A:$B,2,0),""))</f>
        <v/>
      </c>
      <c r="Q18" s="212" t="s">
        <v>182</v>
      </c>
      <c r="R18" s="22" t="s">
        <v>182</v>
      </c>
      <c r="S18" s="213" t="str">
        <f>IF(R18="","",IFERROR(VLOOKUP(R18,Punktar!$A:$B,2,0),""))</f>
        <v/>
      </c>
      <c r="T18" s="212" t="s">
        <v>182</v>
      </c>
      <c r="U18" s="22" t="s">
        <v>182</v>
      </c>
      <c r="V18" s="213" t="str">
        <f>IF(U18="","",IFERROR(VLOOKUP(U18,Punktar!$A:$B,2,0),""))</f>
        <v/>
      </c>
      <c r="W18" s="61"/>
    </row>
    <row r="19" spans="1:23" x14ac:dyDescent="0.2">
      <c r="A19" s="228"/>
      <c r="B19" s="212" t="s">
        <v>182</v>
      </c>
      <c r="C19" s="22" t="s">
        <v>182</v>
      </c>
      <c r="D19" s="213" t="str">
        <f>IF(C19="","",IFERROR(VLOOKUP(C19,Punktar!$A:$B,2,0),""))</f>
        <v/>
      </c>
      <c r="E19" s="212">
        <v>0.99305555555555547</v>
      </c>
      <c r="F19" s="22" t="s">
        <v>258</v>
      </c>
      <c r="G19" s="213" t="str">
        <f>IF(F19="","",IFERROR(VLOOKUP(F19,Punktar!$A:$B,2,0),""))</f>
        <v/>
      </c>
      <c r="H19" s="212">
        <v>0.98958333333333337</v>
      </c>
      <c r="I19" s="22" t="s">
        <v>285</v>
      </c>
      <c r="J19" s="213" t="str">
        <f>IF(I19="","",IFERROR(VLOOKUP(I19,Punktar!$A:$B,2,0),""))</f>
        <v/>
      </c>
      <c r="K19" s="212" t="s">
        <v>182</v>
      </c>
      <c r="L19" s="22" t="s">
        <v>182</v>
      </c>
      <c r="M19" s="213" t="str">
        <f>IF(L19="","",IFERROR(VLOOKUP(L19,Punktar!$A:$B,2,0),""))</f>
        <v/>
      </c>
      <c r="N19" s="212" t="s">
        <v>182</v>
      </c>
      <c r="O19" s="22" t="s">
        <v>182</v>
      </c>
      <c r="P19" s="213" t="str">
        <f>IF(O19="","",IFERROR(VLOOKUP(O19,Punktar!$A:$B,2,0),""))</f>
        <v/>
      </c>
      <c r="Q19" s="212" t="s">
        <v>182</v>
      </c>
      <c r="R19" s="22" t="s">
        <v>182</v>
      </c>
      <c r="S19" s="213" t="str">
        <f>IF(R19="","",IFERROR(VLOOKUP(R19,Punktar!$A:$B,2,0),""))</f>
        <v/>
      </c>
      <c r="T19" s="212" t="s">
        <v>182</v>
      </c>
      <c r="U19" s="22" t="s">
        <v>182</v>
      </c>
      <c r="V19" s="213" t="str">
        <f>IF(U19="","",IFERROR(VLOOKUP(U19,Punktar!$A:$B,2,0),""))</f>
        <v/>
      </c>
      <c r="W19" s="61"/>
    </row>
    <row r="20" spans="1:23" x14ac:dyDescent="0.2">
      <c r="A20" s="229"/>
      <c r="B20" s="214" t="s">
        <v>182</v>
      </c>
      <c r="C20" s="215" t="s">
        <v>182</v>
      </c>
      <c r="D20" s="216" t="str">
        <f>IF(C20="","",IFERROR(VLOOKUP(C20,Punktar!$A:$B,2,0),""))</f>
        <v/>
      </c>
      <c r="E20" s="214"/>
      <c r="F20" s="215"/>
      <c r="G20" s="216" t="str">
        <f>IF(F20="","",IFERROR(VLOOKUP(F20,Punktar!$A:$B,2,0),""))</f>
        <v/>
      </c>
      <c r="H20" s="214" t="s">
        <v>182</v>
      </c>
      <c r="I20" s="215" t="s">
        <v>182</v>
      </c>
      <c r="J20" s="216" t="str">
        <f>IF(I20="","",IFERROR(VLOOKUP(I20,Punktar!$A:$B,2,0),""))</f>
        <v/>
      </c>
      <c r="K20" s="214" t="s">
        <v>182</v>
      </c>
      <c r="L20" s="215" t="s">
        <v>182</v>
      </c>
      <c r="M20" s="216" t="str">
        <f>IF(L20="","",IFERROR(VLOOKUP(L20,Punktar!$A:$B,2,0),""))</f>
        <v/>
      </c>
      <c r="N20" s="214" t="s">
        <v>182</v>
      </c>
      <c r="O20" s="215" t="s">
        <v>182</v>
      </c>
      <c r="P20" s="216" t="str">
        <f>IF(O20="","",IFERROR(VLOOKUP(O20,Punktar!$A:$B,2,0),""))</f>
        <v/>
      </c>
      <c r="Q20" s="214" t="s">
        <v>182</v>
      </c>
      <c r="R20" s="215" t="s">
        <v>182</v>
      </c>
      <c r="S20" s="216" t="str">
        <f>IF(R20="","",IFERROR(VLOOKUP(R20,Punktar!$A:$B,2,0),""))</f>
        <v/>
      </c>
      <c r="T20" s="214" t="s">
        <v>182</v>
      </c>
      <c r="U20" s="215" t="s">
        <v>182</v>
      </c>
      <c r="V20" s="216" t="str">
        <f>IF(U20="","",IFERROR(VLOOKUP(U20,Punktar!$A:$B,2,0),""))</f>
        <v/>
      </c>
      <c r="W20" s="61"/>
    </row>
    <row r="21" spans="1:23" x14ac:dyDescent="0.2">
      <c r="A21" s="19"/>
      <c r="B21" s="135"/>
      <c r="C21" s="20"/>
      <c r="D21" s="136"/>
      <c r="E21" s="135"/>
      <c r="F21" s="20"/>
      <c r="G21" s="136"/>
      <c r="H21" s="135"/>
      <c r="I21" s="20"/>
      <c r="J21" s="136"/>
      <c r="K21" s="135"/>
      <c r="L21" s="20"/>
      <c r="M21" s="136"/>
      <c r="N21" s="135"/>
      <c r="O21" s="20"/>
      <c r="P21" s="136"/>
      <c r="Q21" s="135"/>
      <c r="R21" s="20"/>
      <c r="S21" s="136"/>
      <c r="T21" s="135"/>
      <c r="U21" s="20"/>
      <c r="V21" s="136"/>
      <c r="W21" s="1"/>
    </row>
    <row r="22" spans="1:23" x14ac:dyDescent="0.2">
      <c r="A22" s="1"/>
      <c r="B22" s="11"/>
      <c r="C22" s="11"/>
      <c r="D22" s="11"/>
      <c r="E22" s="11"/>
      <c r="F22" s="1"/>
      <c r="G22" s="11"/>
      <c r="H22" s="11"/>
      <c r="I22" s="1"/>
      <c r="J22" s="1"/>
      <c r="K22" s="1"/>
      <c r="L22" s="1"/>
      <c r="M22" s="1"/>
      <c r="N22" s="1"/>
      <c r="O22" s="1"/>
      <c r="P22" s="1"/>
      <c r="Q22" s="1"/>
      <c r="R22" s="1"/>
      <c r="S22" s="11"/>
      <c r="T22" s="11"/>
      <c r="U22" s="11"/>
      <c r="V22" s="1"/>
    </row>
    <row r="23" spans="1:23" x14ac:dyDescent="0.2">
      <c r="A23" s="1"/>
      <c r="B23" s="11"/>
      <c r="C23" s="11"/>
      <c r="D23" s="11"/>
      <c r="E23" s="11"/>
      <c r="F23" s="1"/>
      <c r="G23" s="11"/>
      <c r="H23" s="11"/>
      <c r="I23" s="1"/>
      <c r="J23" s="1"/>
      <c r="K23" s="1"/>
      <c r="L23" s="1"/>
      <c r="M23" s="1"/>
      <c r="N23" s="1"/>
      <c r="O23" s="1"/>
      <c r="P23" s="1"/>
      <c r="Q23" s="1"/>
      <c r="R23" s="1"/>
      <c r="S23" s="11"/>
      <c r="T23" s="11"/>
      <c r="U23" s="11"/>
      <c r="V23" s="1"/>
    </row>
    <row r="24" spans="1:23" x14ac:dyDescent="0.2">
      <c r="A24" s="1"/>
      <c r="B24" s="11"/>
      <c r="C24" s="11"/>
      <c r="D24" s="11"/>
      <c r="E24" s="11"/>
      <c r="F24" s="1"/>
      <c r="G24" s="11"/>
      <c r="H24" s="11"/>
      <c r="I24" s="1"/>
      <c r="J24" s="1"/>
      <c r="K24" s="1"/>
      <c r="L24" s="1"/>
      <c r="M24" s="1"/>
      <c r="N24" s="1"/>
      <c r="O24" s="1"/>
      <c r="P24" s="1"/>
      <c r="Q24" s="1"/>
      <c r="R24" s="1"/>
      <c r="S24" s="11"/>
      <c r="T24" s="11"/>
      <c r="U24" s="11"/>
      <c r="V24" s="1"/>
    </row>
    <row r="25" spans="1:23" x14ac:dyDescent="0.2">
      <c r="A25" s="1"/>
      <c r="B25" s="11"/>
      <c r="C25" s="11"/>
      <c r="D25" s="11"/>
      <c r="E25" s="11"/>
      <c r="F25" s="1"/>
      <c r="G25" s="11"/>
      <c r="H25" s="11"/>
      <c r="I25" s="1"/>
      <c r="J25" s="1"/>
      <c r="K25" s="1"/>
      <c r="L25" s="1"/>
      <c r="M25" s="1"/>
      <c r="N25" s="1"/>
      <c r="O25" s="1"/>
      <c r="P25" s="1"/>
      <c r="Q25" s="1"/>
      <c r="R25" s="1"/>
      <c r="S25" s="11"/>
      <c r="T25" s="11"/>
      <c r="U25" s="11"/>
      <c r="V25" s="1"/>
    </row>
    <row r="26" spans="1:23" x14ac:dyDescent="0.2">
      <c r="A26" s="1"/>
      <c r="B26" s="11"/>
      <c r="C26" s="11"/>
      <c r="D26" s="11"/>
      <c r="E26" s="11"/>
      <c r="F26" s="1"/>
      <c r="G26" s="11"/>
      <c r="H26" s="11"/>
      <c r="I26" s="1"/>
      <c r="J26" s="1"/>
      <c r="K26" s="1"/>
      <c r="L26" s="1"/>
      <c r="M26" s="1"/>
      <c r="N26" s="1"/>
      <c r="O26" s="1"/>
      <c r="P26" s="1"/>
      <c r="Q26" s="1"/>
      <c r="R26" s="1"/>
      <c r="S26" s="11"/>
      <c r="T26" s="11"/>
      <c r="U26" s="11"/>
      <c r="V26" s="1"/>
    </row>
    <row r="27" spans="1:23" x14ac:dyDescent="0.2">
      <c r="A27" s="1"/>
      <c r="B27" s="11"/>
      <c r="C27" s="11"/>
      <c r="D27" s="11"/>
      <c r="E27" s="11"/>
      <c r="F27" s="1"/>
      <c r="G27" s="11"/>
      <c r="H27" s="11"/>
      <c r="I27" s="1"/>
      <c r="J27" s="1"/>
      <c r="K27" s="1"/>
      <c r="L27" s="1"/>
      <c r="M27" s="1"/>
      <c r="N27" s="1"/>
      <c r="O27" s="1"/>
      <c r="P27" s="1"/>
      <c r="Q27" s="1"/>
      <c r="R27" s="1"/>
      <c r="S27" s="11"/>
      <c r="T27" s="11"/>
      <c r="U27" s="11"/>
      <c r="V27" s="1"/>
    </row>
    <row r="28" spans="1:23" x14ac:dyDescent="0.2">
      <c r="A28" s="1"/>
      <c r="B28" s="11"/>
      <c r="C28" s="11"/>
      <c r="D28" s="11"/>
      <c r="E28" s="11"/>
      <c r="F28" s="1"/>
      <c r="G28" s="1"/>
      <c r="H28" s="1"/>
      <c r="I28" s="1"/>
      <c r="J28" s="1"/>
      <c r="K28" s="1"/>
      <c r="L28" s="1"/>
      <c r="M28" s="1"/>
      <c r="N28" s="1"/>
      <c r="O28" s="1"/>
      <c r="P28" s="1"/>
      <c r="Q28" s="1"/>
      <c r="R28" s="1"/>
      <c r="S28" s="11"/>
      <c r="T28" s="11"/>
      <c r="U28" s="11"/>
      <c r="V28" s="1"/>
    </row>
    <row r="29" spans="1:23" x14ac:dyDescent="0.2">
      <c r="A29" s="1"/>
      <c r="B29" s="11"/>
      <c r="C29" s="11"/>
      <c r="D29" s="11"/>
      <c r="E29" s="11"/>
      <c r="F29" s="1"/>
      <c r="G29" s="1"/>
      <c r="H29" s="1"/>
      <c r="I29" s="1"/>
      <c r="J29" s="1"/>
      <c r="K29" s="1"/>
      <c r="L29" s="1"/>
      <c r="M29" s="1"/>
      <c r="N29" s="1"/>
      <c r="O29" s="1"/>
      <c r="P29" s="1"/>
      <c r="Q29" s="1"/>
      <c r="R29" s="1"/>
      <c r="S29" s="11"/>
      <c r="T29" s="11"/>
      <c r="U29" s="11"/>
      <c r="V29" s="1"/>
    </row>
    <row r="30" spans="1:23" x14ac:dyDescent="0.2">
      <c r="A30" s="1"/>
      <c r="B30" s="1"/>
      <c r="C30" s="1"/>
      <c r="D30" s="1"/>
      <c r="E30" s="1"/>
      <c r="F30" s="1"/>
      <c r="G30" s="1"/>
      <c r="H30" s="1"/>
      <c r="I30" s="1"/>
      <c r="J30" s="1"/>
      <c r="K30" s="1"/>
      <c r="L30" s="1"/>
      <c r="M30" s="1"/>
      <c r="N30" s="1"/>
      <c r="O30" s="1"/>
      <c r="P30" s="1"/>
      <c r="Q30" s="1"/>
      <c r="R30" s="1"/>
      <c r="S30" s="1"/>
      <c r="T30" s="1"/>
      <c r="U30" s="1"/>
      <c r="V30" s="1"/>
    </row>
    <row r="31" spans="1:23" x14ac:dyDescent="0.2"/>
    <row r="32" spans="1:23"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sheetData>
  <sheetProtection sheet="1" objects="1" scenarios="1"/>
  <mergeCells count="9">
    <mergeCell ref="T4:U4"/>
    <mergeCell ref="A5:A20"/>
    <mergeCell ref="G1:S3"/>
    <mergeCell ref="B4:C4"/>
    <mergeCell ref="E4:F4"/>
    <mergeCell ref="H4:I4"/>
    <mergeCell ref="K4:L4"/>
    <mergeCell ref="N4:O4"/>
    <mergeCell ref="Q4:R4"/>
  </mergeCells>
  <conditionalFormatting sqref="B5:V20">
    <cfRule type="containsText" dxfId="12" priority="1" operator="containsText" text=" YYY">
      <formula>NOT(ISERROR(SEARCH(" YYY",B5)))</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Vika 36</vt:lpstr>
      <vt:lpstr>Vika 37</vt:lpstr>
      <vt:lpstr>Vika 38</vt:lpstr>
      <vt:lpstr>Vika 39</vt:lpstr>
      <vt:lpstr>Vika 40</vt:lpstr>
      <vt:lpstr>Vika 41</vt:lpstr>
      <vt:lpstr>Vika 42</vt:lpstr>
      <vt:lpstr>Vika 43</vt:lpstr>
      <vt:lpstr>Vika 44</vt:lpstr>
      <vt:lpstr>Vika 45</vt:lpstr>
      <vt:lpstr>Vika 46</vt:lpstr>
      <vt:lpstr>Vika 47</vt:lpstr>
      <vt:lpstr>Vika 48</vt:lpstr>
      <vt:lpstr>Vika x5</vt:lpstr>
      <vt:lpstr>Línuleg verðskrá</vt:lpstr>
      <vt:lpstr>VOD</vt:lpstr>
      <vt:lpstr>VOD hjálparskjal</vt:lpstr>
      <vt:lpstr>Punktar</vt:lpstr>
      <vt:lpstr>Verðlyklar</vt:lpstr>
      <vt:lpstr>'Línuleg 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2023-10-11T15:53:16Z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