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85" yWindow="65326" windowWidth="13530" windowHeight="14670" tabRatio="735" activeTab="3"/>
  </bookViews>
  <sheets>
    <sheet name="Instructions" sheetId="1" r:id="rId1"/>
    <sheet name="LOI (based on ARR and SE)" sheetId="2" r:id="rId2"/>
    <sheet name="LOI (based on NNT and CI)" sheetId="3" r:id="rId3"/>
    <sheet name="LOI (Simulation on 2x2 table)" sheetId="4" r:id="rId4"/>
    <sheet name="Examples of Table 2" sheetId="5" r:id="rId5"/>
  </sheets>
  <definedNames>
    <definedName name="MCAn">'LOI (Simulation on 2x2 table)'!$B$2</definedName>
    <definedName name="MCAp">'LOI (Simulation on 2x2 table)'!$B$1</definedName>
    <definedName name="MCARRt">'LOI (Simulation on 2x2 table)'!$B$5</definedName>
    <definedName name="MCBP">'LOI (Simulation on 2x2 table)'!$B$15</definedName>
    <definedName name="MCCB">'LOI (Simulation on 2x2 table)'!$B$14</definedName>
    <definedName name="MCSEARRt">'LOI (Simulation on 2x2 table)'!$B$6</definedName>
    <definedName name="MCSn">'LOI (Simulation on 2x2 table)'!$B$4</definedName>
    <definedName name="MCSp">'LOI (Simulation on 2x2 table)'!$B$3</definedName>
    <definedName name="nSim">'LOI (Simulation on 2x2 table)'!$B$7</definedName>
  </definedNames>
  <calcPr fullCalcOnLoad="1"/>
</workbook>
</file>

<file path=xl/sharedStrings.xml><?xml version="1.0" encoding="utf-8"?>
<sst xmlns="http://schemas.openxmlformats.org/spreadsheetml/2006/main" count="153" uniqueCount="68">
  <si>
    <t>Point estimate of NNT</t>
  </si>
  <si>
    <t>ARR</t>
  </si>
  <si>
    <t>Threshold NNT</t>
  </si>
  <si>
    <t>ARRt</t>
  </si>
  <si>
    <t>point estimate of absolute risk reduction</t>
  </si>
  <si>
    <t>Standard Error of the point estimate of ARR</t>
  </si>
  <si>
    <t>Threshold ARR (reciprocal of threshold NNT)</t>
  </si>
  <si>
    <t>Lost Opportunity Index</t>
  </si>
  <si>
    <t>Type INF if the threshold NNT is infinite (ARR threshold=0)</t>
  </si>
  <si>
    <t>inf</t>
  </si>
  <si>
    <t>Put only one (upper or lower bound). Use negative number to indicate number-needed to harm</t>
  </si>
  <si>
    <t>Results</t>
  </si>
  <si>
    <t>NNTt=infinite</t>
  </si>
  <si>
    <t>NNTt=NNT</t>
  </si>
  <si>
    <t>Droperidol 10</t>
  </si>
  <si>
    <t>Droperidol 20</t>
  </si>
  <si>
    <t>Droperidol 50</t>
  </si>
  <si>
    <t>Droperidol 75</t>
  </si>
  <si>
    <t>Metoclopramide 0.10</t>
  </si>
  <si>
    <t>Metoclopramide 0.15</t>
  </si>
  <si>
    <t>Metoclopramide 0.25</t>
  </si>
  <si>
    <t>Dixyrazine 0.25</t>
  </si>
  <si>
    <t>Ondansetron 0.15</t>
  </si>
  <si>
    <t>Atropine 10</t>
  </si>
  <si>
    <t>Lorazepam 10</t>
  </si>
  <si>
    <t>Current decision</t>
  </si>
  <si>
    <t>SE of ARR (σ)</t>
  </si>
  <si>
    <t>Incremental Net benefit under PI</t>
  </si>
  <si>
    <t>Current benefit</t>
  </si>
  <si>
    <t>Benefit under perfect information</t>
  </si>
  <si>
    <t>Lost NNT</t>
  </si>
  <si>
    <t>Lost opportunity Index</t>
  </si>
  <si>
    <t>Bound of NNT 95% CI</t>
  </si>
  <si>
    <r>
      <t>SE of ARR (σ</t>
    </r>
    <r>
      <rPr>
        <sz val="8"/>
        <color indexed="8"/>
        <rFont val="Calibri"/>
        <family val="2"/>
      </rPr>
      <t>T</t>
    </r>
    <r>
      <rPr>
        <sz val="11"/>
        <color theme="1"/>
        <rFont val="Calibri"/>
        <family val="2"/>
      </rPr>
      <t>)</t>
    </r>
  </si>
  <si>
    <t>Standard Error of the point estimate of threshold ARR</t>
  </si>
  <si>
    <t>Calculations (do not change these parts)</t>
  </si>
  <si>
    <t>Lost Opportunity Index (LOI)</t>
  </si>
  <si>
    <t>formatted output</t>
  </si>
  <si>
    <t>NNT</t>
  </si>
  <si>
    <t>NNT 95% bound</t>
  </si>
  <si>
    <t>Input parameters (change the   values below)</t>
  </si>
  <si>
    <t>Bound of the threshold NNT 95% CI (optional)</t>
  </si>
  <si>
    <t>a</t>
  </si>
  <si>
    <t>b</t>
  </si>
  <si>
    <t>c</t>
  </si>
  <si>
    <t>d</t>
  </si>
  <si>
    <r>
      <t xml:space="preserve">This is </t>
    </r>
    <r>
      <rPr>
        <b/>
        <sz val="14"/>
        <color indexed="8"/>
        <rFont val="Calibri"/>
        <family val="2"/>
      </rPr>
      <t>optional.</t>
    </r>
    <r>
      <rPr>
        <sz val="14"/>
        <color indexed="8"/>
        <rFont val="Calibri"/>
        <family val="2"/>
      </rPr>
      <t xml:space="preserve"> It is for the situation that the threshold NNT is not a fixed value rather has a probability distirbution</t>
    </r>
  </si>
  <si>
    <t>3) If the total number of patients in each arm, as well as the total number of patients who experienced the outcome within each arm is available, then you can use Monte Carlo simulation method for calculating the lost NNT and LOI. This is the recommended method if the numbers are small, a general ruule of thumb is that if at least one number in the two-by-two table of treatment type by treatment success/failure is less than 5.</t>
  </si>
  <si>
    <t>Note that some cells in the present spreadsheet are locked. This is to prevent the user from accidentally changing values in the sheet. However, interested users can unlock the sheets for exploration of internal calculations</t>
  </si>
  <si>
    <t>Color legend:</t>
  </si>
  <si>
    <t>Sigma</t>
  </si>
  <si>
    <t>There are three ways of calculating the lost NNT and LOI using this spreadsheet:</t>
  </si>
  <si>
    <t xml:space="preserve">Please note that sometimes the original study might report the CI using mathods that result in assymetrical intervals. If such methods are used, then deriving the ARR and its SE from the reported values is not valid. We recommend using the simulation method in this case. </t>
  </si>
  <si>
    <t>Point estimate of absolute risk reduction between the alternative and standard treatments</t>
  </si>
  <si>
    <t>Alternative treatment, favorable outcome</t>
  </si>
  <si>
    <t>Alternative treatment, unfavorable outcome</t>
  </si>
  <si>
    <t>Standard treatment, favorable outcome</t>
  </si>
  <si>
    <t>Standard treatment, unfavorable outcome</t>
  </si>
  <si>
    <t>Number of simulaitons</t>
  </si>
  <si>
    <t>2) If the NNT and its 95% CI are reported, and provided that they are based on the normal approximation of the sample distirbution of the ARR, you can enter the point estimate and one of the CI bounds (either upper or lower bounds).</t>
  </si>
  <si>
    <t>Input cells.The user needs to enter these values in order to obtain the results</t>
  </si>
  <si>
    <t>Internal calculations. The user should not generally manipulate these cells. These cells are locked but you can use Excel menu to unlock the cell.</t>
  </si>
  <si>
    <t xml:space="preserve">Outputs cells. These indicate the results of the calculations. </t>
  </si>
  <si>
    <t>ARR from 2X2 data</t>
  </si>
  <si>
    <t>This spreadsheet provides a tool for the calculation of the lost NNT and the Lost Opportunity Index (LOI)</t>
  </si>
  <si>
    <t>Last update</t>
  </si>
  <si>
    <t>1) Sometimes the study reports ARR and its standard error (SE), or such numbers can be recovered from other information. In this case you can use method 1 by entering the ARR and its SE.</t>
  </si>
  <si>
    <t>This sheet requires visual basic enabled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</si>
</sst>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h:mm:ss\ AM/PM"/>
    <numFmt numFmtId="170" formatCode="0.0000"/>
    <numFmt numFmtId="171" formatCode="0.0"/>
  </numFmts>
  <fonts count="49">
    <font>
      <sz val="11"/>
      <color theme="1"/>
      <name val="Calibri"/>
      <family val="2"/>
    </font>
    <font>
      <sz val="11"/>
      <color indexed="8"/>
      <name val="Calibri"/>
      <family val="2"/>
    </font>
    <font>
      <sz val="8"/>
      <color indexed="8"/>
      <name val="Calibri"/>
      <family val="2"/>
    </font>
    <font>
      <b/>
      <sz val="14"/>
      <color indexed="8"/>
      <name val="Calibri"/>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6"/>
      <color indexed="8"/>
      <name val="Calibri"/>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4"/>
      <color theme="1"/>
      <name val="Calibri"/>
      <family val="2"/>
    </font>
    <font>
      <b/>
      <sz val="16"/>
      <color theme="1"/>
      <name val="Calibri"/>
      <family val="2"/>
    </font>
    <font>
      <sz val="16"/>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Font="1" applyAlignment="1">
      <alignment/>
    </xf>
    <xf numFmtId="0" fontId="42" fillId="0" borderId="0" xfId="0" applyFont="1" applyAlignment="1">
      <alignment/>
    </xf>
    <xf numFmtId="0" fontId="0" fillId="33" borderId="0" xfId="0" applyFill="1" applyAlignment="1">
      <alignment/>
    </xf>
    <xf numFmtId="0" fontId="0" fillId="34" borderId="0" xfId="0" applyFill="1" applyAlignment="1">
      <alignment/>
    </xf>
    <xf numFmtId="0" fontId="42" fillId="34" borderId="0" xfId="0" applyFont="1" applyFill="1" applyAlignment="1">
      <alignment/>
    </xf>
    <xf numFmtId="2" fontId="42" fillId="34" borderId="0" xfId="0" applyNumberFormat="1" applyFont="1" applyFill="1" applyAlignment="1">
      <alignment/>
    </xf>
    <xf numFmtId="170" fontId="42" fillId="34" borderId="0" xfId="0" applyNumberFormat="1" applyFont="1" applyFill="1" applyAlignment="1">
      <alignment/>
    </xf>
    <xf numFmtId="0" fontId="44" fillId="35" borderId="0" xfId="0" applyFont="1" applyFill="1" applyAlignment="1">
      <alignment/>
    </xf>
    <xf numFmtId="0" fontId="45" fillId="0" borderId="0" xfId="0" applyFont="1" applyAlignment="1">
      <alignment/>
    </xf>
    <xf numFmtId="0" fontId="44" fillId="0" borderId="0" xfId="0" applyFont="1" applyAlignment="1">
      <alignment/>
    </xf>
    <xf numFmtId="0" fontId="44" fillId="36" borderId="0" xfId="0" applyFont="1" applyFill="1" applyAlignment="1">
      <alignment/>
    </xf>
    <xf numFmtId="0" fontId="44" fillId="34" borderId="0" xfId="0" applyFont="1" applyFill="1" applyAlignment="1">
      <alignment/>
    </xf>
    <xf numFmtId="0" fontId="42" fillId="33" borderId="0" xfId="0" applyFont="1" applyFill="1" applyAlignment="1" applyProtection="1">
      <alignment/>
      <protection/>
    </xf>
    <xf numFmtId="0" fontId="0" fillId="33" borderId="0" xfId="0" applyFill="1" applyAlignment="1" applyProtection="1">
      <alignment/>
      <protection/>
    </xf>
    <xf numFmtId="0" fontId="0" fillId="0" borderId="0" xfId="0" applyAlignment="1" applyProtection="1">
      <alignment/>
      <protection locked="0"/>
    </xf>
    <xf numFmtId="0" fontId="0" fillId="0" borderId="0" xfId="0" applyAlignment="1" applyProtection="1">
      <alignment horizontal="left"/>
      <protection locked="0"/>
    </xf>
    <xf numFmtId="0" fontId="45" fillId="35" borderId="0" xfId="0" applyFont="1" applyFill="1" applyAlignment="1" applyProtection="1">
      <alignment/>
      <protection locked="0"/>
    </xf>
    <xf numFmtId="0" fontId="0" fillId="35" borderId="0" xfId="0" applyFill="1" applyAlignment="1" applyProtection="1">
      <alignment/>
      <protection locked="0"/>
    </xf>
    <xf numFmtId="0" fontId="46" fillId="34" borderId="0" xfId="0" applyFont="1" applyFill="1" applyAlignment="1" applyProtection="1">
      <alignment/>
      <protection locked="0"/>
    </xf>
    <xf numFmtId="0" fontId="47" fillId="34" borderId="0" xfId="0" applyFont="1" applyFill="1" applyAlignment="1" applyProtection="1">
      <alignment/>
      <protection locked="0"/>
    </xf>
    <xf numFmtId="0" fontId="47" fillId="0" borderId="0" xfId="0" applyFont="1" applyAlignment="1" applyProtection="1">
      <alignment/>
      <protection locked="0"/>
    </xf>
    <xf numFmtId="171" fontId="46" fillId="34" borderId="0" xfId="0" applyNumberFormat="1" applyFont="1" applyFill="1" applyAlignment="1" applyProtection="1">
      <alignment/>
      <protection locked="0"/>
    </xf>
    <xf numFmtId="10" fontId="46" fillId="34" borderId="0" xfId="0" applyNumberFormat="1" applyFont="1" applyFill="1" applyAlignment="1" applyProtection="1">
      <alignment/>
      <protection locked="0"/>
    </xf>
    <xf numFmtId="0" fontId="48" fillId="0" borderId="0" xfId="0" applyFont="1" applyAlignment="1" applyProtection="1">
      <alignment/>
      <protection locked="0"/>
    </xf>
    <xf numFmtId="0" fontId="44" fillId="35" borderId="0" xfId="0" applyFont="1" applyFill="1" applyAlignment="1" applyProtection="1">
      <alignment/>
      <protection locked="0"/>
    </xf>
    <xf numFmtId="0" fontId="44" fillId="35" borderId="0" xfId="0" applyFont="1" applyFill="1" applyAlignment="1" applyProtection="1">
      <alignment horizontal="left"/>
      <protection locked="0"/>
    </xf>
    <xf numFmtId="0" fontId="0" fillId="0" borderId="0" xfId="0" applyAlignment="1" applyProtection="1">
      <alignment/>
      <protection/>
    </xf>
    <xf numFmtId="0" fontId="0" fillId="33" borderId="0" xfId="0" applyFill="1" applyAlignment="1" applyProtection="1">
      <alignment/>
      <protection locked="0"/>
    </xf>
    <xf numFmtId="14" fontId="0" fillId="0" borderId="0" xfId="0" applyNumberFormat="1" applyAlignment="1">
      <alignment/>
    </xf>
    <xf numFmtId="0" fontId="43" fillId="0" borderId="0" xfId="0"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20"/>
  <sheetViews>
    <sheetView zoomScalePageLayoutView="0" workbookViewId="0" topLeftCell="A1">
      <selection activeCell="B11" sqref="B11"/>
    </sheetView>
  </sheetViews>
  <sheetFormatPr defaultColWidth="9.140625" defaultRowHeight="15"/>
  <cols>
    <col min="1" max="1" width="16.57421875" style="0" customWidth="1"/>
    <col min="2" max="2" width="16.28125" style="0" customWidth="1"/>
    <col min="3" max="3" width="13.28125" style="0" customWidth="1"/>
  </cols>
  <sheetData>
    <row r="1" spans="1:2" ht="15">
      <c r="A1" t="s">
        <v>65</v>
      </c>
      <c r="B1" s="28">
        <v>40899</v>
      </c>
    </row>
    <row r="3" spans="2:16" ht="18.75">
      <c r="B3" s="8" t="s">
        <v>64</v>
      </c>
      <c r="C3" s="8"/>
      <c r="D3" s="8"/>
      <c r="E3" s="8"/>
      <c r="F3" s="8"/>
      <c r="G3" s="8"/>
      <c r="H3" s="8"/>
      <c r="I3" s="8"/>
      <c r="J3" s="8"/>
      <c r="K3" s="8"/>
      <c r="L3" s="8"/>
      <c r="M3" s="8"/>
      <c r="N3" s="8"/>
      <c r="O3" s="8"/>
      <c r="P3" s="8"/>
    </row>
    <row r="4" spans="2:16" ht="18.75">
      <c r="B4" s="8"/>
      <c r="C4" s="8"/>
      <c r="D4" s="8"/>
      <c r="E4" s="8"/>
      <c r="F4" s="8"/>
      <c r="G4" s="8"/>
      <c r="H4" s="8"/>
      <c r="I4" s="8"/>
      <c r="J4" s="8"/>
      <c r="K4" s="8"/>
      <c r="L4" s="8"/>
      <c r="M4" s="8"/>
      <c r="N4" s="8"/>
      <c r="O4" s="8"/>
      <c r="P4" s="8"/>
    </row>
    <row r="5" spans="2:16" ht="18.75">
      <c r="B5" s="8" t="s">
        <v>51</v>
      </c>
      <c r="C5" s="8"/>
      <c r="D5" s="8"/>
      <c r="E5" s="8"/>
      <c r="F5" s="8"/>
      <c r="G5" s="8"/>
      <c r="H5" s="8"/>
      <c r="I5" s="8"/>
      <c r="J5" s="8"/>
      <c r="K5" s="8"/>
      <c r="L5" s="8"/>
      <c r="M5" s="8"/>
      <c r="N5" s="8"/>
      <c r="O5" s="8"/>
      <c r="P5" s="8"/>
    </row>
    <row r="6" spans="2:16" ht="18.75">
      <c r="B6" s="8" t="s">
        <v>66</v>
      </c>
      <c r="C6" s="8"/>
      <c r="D6" s="8"/>
      <c r="E6" s="8"/>
      <c r="F6" s="8"/>
      <c r="G6" s="8"/>
      <c r="H6" s="8"/>
      <c r="I6" s="8"/>
      <c r="J6" s="8"/>
      <c r="K6" s="8"/>
      <c r="L6" s="8"/>
      <c r="M6" s="8"/>
      <c r="N6" s="8"/>
      <c r="O6" s="8"/>
      <c r="P6" s="8"/>
    </row>
    <row r="7" spans="2:16" ht="18.75">
      <c r="B7" s="8" t="s">
        <v>59</v>
      </c>
      <c r="C7" s="8"/>
      <c r="D7" s="8"/>
      <c r="E7" s="8"/>
      <c r="F7" s="8"/>
      <c r="G7" s="8"/>
      <c r="H7" s="8"/>
      <c r="I7" s="8"/>
      <c r="J7" s="8"/>
      <c r="K7" s="8"/>
      <c r="L7" s="8"/>
      <c r="M7" s="8"/>
      <c r="N7" s="8"/>
      <c r="O7" s="8"/>
      <c r="P7" s="8"/>
    </row>
    <row r="8" spans="2:16" ht="18.75">
      <c r="B8" s="8" t="s">
        <v>47</v>
      </c>
      <c r="C8" s="8"/>
      <c r="D8" s="8"/>
      <c r="E8" s="8"/>
      <c r="F8" s="8"/>
      <c r="G8" s="8"/>
      <c r="H8" s="8"/>
      <c r="I8" s="8"/>
      <c r="J8" s="8"/>
      <c r="K8" s="8"/>
      <c r="L8" s="8"/>
      <c r="M8" s="8"/>
      <c r="N8" s="8"/>
      <c r="O8" s="8"/>
      <c r="P8" s="8"/>
    </row>
    <row r="9" spans="2:16" ht="18.75">
      <c r="B9" s="8"/>
      <c r="C9" s="8"/>
      <c r="D9" s="8"/>
      <c r="E9" s="8"/>
      <c r="F9" s="8"/>
      <c r="G9" s="8"/>
      <c r="H9" s="8"/>
      <c r="I9" s="8"/>
      <c r="J9" s="8"/>
      <c r="K9" s="8"/>
      <c r="L9" s="8"/>
      <c r="M9" s="8"/>
      <c r="N9" s="8"/>
      <c r="O9" s="8"/>
      <c r="P9" s="8"/>
    </row>
    <row r="10" spans="2:16" ht="18.75">
      <c r="B10" s="8"/>
      <c r="C10" s="8"/>
      <c r="D10" s="8"/>
      <c r="E10" s="8"/>
      <c r="F10" s="8"/>
      <c r="G10" s="8"/>
      <c r="H10" s="8"/>
      <c r="I10" s="8"/>
      <c r="J10" s="8"/>
      <c r="K10" s="8"/>
      <c r="L10" s="8"/>
      <c r="M10" s="8"/>
      <c r="N10" s="8"/>
      <c r="O10" s="8"/>
      <c r="P10" s="8"/>
    </row>
    <row r="11" spans="2:16" ht="18.75">
      <c r="B11" s="8" t="s">
        <v>52</v>
      </c>
      <c r="C11" s="8"/>
      <c r="D11" s="8"/>
      <c r="E11" s="8"/>
      <c r="F11" s="8"/>
      <c r="G11" s="8"/>
      <c r="H11" s="8"/>
      <c r="I11" s="8"/>
      <c r="J11" s="8"/>
      <c r="K11" s="8"/>
      <c r="L11" s="8"/>
      <c r="M11" s="8"/>
      <c r="N11" s="8"/>
      <c r="O11" s="8"/>
      <c r="P11" s="8"/>
    </row>
    <row r="12" spans="2:16" ht="18.75">
      <c r="B12" s="8"/>
      <c r="C12" s="8"/>
      <c r="D12" s="8"/>
      <c r="E12" s="8"/>
      <c r="F12" s="8"/>
      <c r="G12" s="8"/>
      <c r="H12" s="8"/>
      <c r="I12" s="8"/>
      <c r="J12" s="8"/>
      <c r="K12" s="8"/>
      <c r="L12" s="8"/>
      <c r="M12" s="8"/>
      <c r="N12" s="8"/>
      <c r="O12" s="8"/>
      <c r="P12" s="8"/>
    </row>
    <row r="13" spans="2:16" ht="18.75">
      <c r="B13" s="8"/>
      <c r="C13" s="8"/>
      <c r="D13" s="8"/>
      <c r="E13" s="8"/>
      <c r="F13" s="8"/>
      <c r="G13" s="8"/>
      <c r="H13" s="8"/>
      <c r="I13" s="8"/>
      <c r="J13" s="8"/>
      <c r="K13" s="8"/>
      <c r="L13" s="8"/>
      <c r="M13" s="8"/>
      <c r="N13" s="8"/>
      <c r="O13" s="8"/>
      <c r="P13" s="8"/>
    </row>
    <row r="14" spans="2:16" ht="18.75">
      <c r="B14" s="8" t="s">
        <v>48</v>
      </c>
      <c r="C14" s="8"/>
      <c r="D14" s="8"/>
      <c r="E14" s="8"/>
      <c r="F14" s="8"/>
      <c r="G14" s="8"/>
      <c r="H14" s="8"/>
      <c r="I14" s="8"/>
      <c r="J14" s="8"/>
      <c r="K14" s="8"/>
      <c r="L14" s="8"/>
      <c r="M14" s="8"/>
      <c r="N14" s="8"/>
      <c r="O14" s="8"/>
      <c r="P14" s="8"/>
    </row>
    <row r="15" spans="2:16" ht="18.75">
      <c r="B15" s="8"/>
      <c r="C15" s="8"/>
      <c r="D15" s="8"/>
      <c r="E15" s="8"/>
      <c r="F15" s="8"/>
      <c r="G15" s="8"/>
      <c r="H15" s="8"/>
      <c r="I15" s="8"/>
      <c r="J15" s="8"/>
      <c r="K15" s="8"/>
      <c r="L15" s="8"/>
      <c r="M15" s="8"/>
      <c r="N15" s="8"/>
      <c r="O15" s="8"/>
      <c r="P15" s="8"/>
    </row>
    <row r="16" spans="2:16" ht="18.75">
      <c r="B16" s="8" t="s">
        <v>49</v>
      </c>
      <c r="C16" s="8"/>
      <c r="D16" s="8"/>
      <c r="E16" s="8"/>
      <c r="F16" s="8"/>
      <c r="G16" s="8"/>
      <c r="H16" s="8"/>
      <c r="I16" s="8"/>
      <c r="J16" s="8"/>
      <c r="K16" s="8"/>
      <c r="L16" s="8"/>
      <c r="M16" s="8"/>
      <c r="N16" s="8"/>
      <c r="O16" s="8"/>
      <c r="P16" s="8"/>
    </row>
    <row r="17" spans="2:16" ht="18.75">
      <c r="B17" s="7"/>
      <c r="C17" s="9" t="s">
        <v>60</v>
      </c>
      <c r="D17" s="9"/>
      <c r="E17" s="9"/>
      <c r="F17" s="9"/>
      <c r="G17" s="9"/>
      <c r="H17" s="9"/>
      <c r="I17" s="9"/>
      <c r="J17" s="8"/>
      <c r="K17" s="8"/>
      <c r="L17" s="8"/>
      <c r="M17" s="8"/>
      <c r="N17" s="8"/>
      <c r="O17" s="8"/>
      <c r="P17" s="8"/>
    </row>
    <row r="18" spans="2:16" ht="18.75">
      <c r="B18" s="10"/>
      <c r="C18" s="9" t="s">
        <v>61</v>
      </c>
      <c r="D18" s="9"/>
      <c r="E18" s="9"/>
      <c r="F18" s="9"/>
      <c r="G18" s="9"/>
      <c r="H18" s="9"/>
      <c r="I18" s="9"/>
      <c r="J18" s="8"/>
      <c r="K18" s="8"/>
      <c r="L18" s="8"/>
      <c r="M18" s="8"/>
      <c r="N18" s="8"/>
      <c r="O18" s="8"/>
      <c r="P18" s="8"/>
    </row>
    <row r="19" spans="2:16" ht="18.75">
      <c r="B19" s="11"/>
      <c r="C19" s="9" t="s">
        <v>62</v>
      </c>
      <c r="D19" s="9"/>
      <c r="E19" s="9"/>
      <c r="F19" s="9"/>
      <c r="G19" s="9"/>
      <c r="H19" s="9"/>
      <c r="I19" s="9"/>
      <c r="J19" s="8"/>
      <c r="K19" s="8"/>
      <c r="L19" s="8"/>
      <c r="M19" s="8"/>
      <c r="N19" s="8"/>
      <c r="O19" s="8"/>
      <c r="P19" s="8"/>
    </row>
    <row r="20" spans="2:16" ht="18.75">
      <c r="B20" s="8"/>
      <c r="C20" s="8"/>
      <c r="D20" s="8"/>
      <c r="E20" s="8"/>
      <c r="F20" s="8"/>
      <c r="G20" s="8"/>
      <c r="H20" s="8"/>
      <c r="I20" s="8"/>
      <c r="J20" s="8"/>
      <c r="K20" s="8"/>
      <c r="L20" s="8"/>
      <c r="M20" s="8"/>
      <c r="N20" s="8"/>
      <c r="O20" s="8"/>
      <c r="P20" s="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P24"/>
  <sheetViews>
    <sheetView zoomScalePageLayoutView="0" workbookViewId="0" topLeftCell="A1">
      <selection activeCell="C17" sqref="C17"/>
    </sheetView>
  </sheetViews>
  <sheetFormatPr defaultColWidth="9.140625" defaultRowHeight="15"/>
  <cols>
    <col min="1" max="1" width="53.7109375" style="14" bestFit="1" customWidth="1"/>
    <col min="2" max="2" width="21.00390625" style="14" customWidth="1"/>
    <col min="3" max="3" width="12.00390625" style="14" bestFit="1" customWidth="1"/>
    <col min="4" max="15" width="9.140625" style="14" customWidth="1"/>
    <col min="16" max="16" width="15.7109375" style="14" customWidth="1"/>
    <col min="17" max="16384" width="9.140625" style="14" customWidth="1"/>
  </cols>
  <sheetData>
    <row r="1" spans="1:8" s="17" customFormat="1" ht="18.75">
      <c r="A1" s="16" t="s">
        <v>1</v>
      </c>
      <c r="B1" s="16">
        <v>0.1</v>
      </c>
      <c r="C1" s="16"/>
      <c r="D1" s="16" t="s">
        <v>53</v>
      </c>
      <c r="E1" s="16"/>
      <c r="F1" s="16"/>
      <c r="G1" s="16"/>
      <c r="H1" s="16"/>
    </row>
    <row r="2" spans="1:8" s="17" customFormat="1" ht="18.75">
      <c r="A2" s="16" t="s">
        <v>26</v>
      </c>
      <c r="B2" s="16">
        <v>0.1</v>
      </c>
      <c r="C2" s="16"/>
      <c r="D2" s="16" t="s">
        <v>5</v>
      </c>
      <c r="E2" s="16"/>
      <c r="F2" s="16"/>
      <c r="G2" s="16"/>
      <c r="H2" s="16"/>
    </row>
    <row r="3" spans="1:8" s="17" customFormat="1" ht="18.75">
      <c r="A3" s="16" t="s">
        <v>3</v>
      </c>
      <c r="B3" s="16">
        <v>0</v>
      </c>
      <c r="C3" s="16"/>
      <c r="D3" s="16" t="s">
        <v>6</v>
      </c>
      <c r="E3" s="16"/>
      <c r="F3" s="16"/>
      <c r="G3" s="16"/>
      <c r="H3" s="16"/>
    </row>
    <row r="4" spans="1:8" s="17" customFormat="1" ht="18.75">
      <c r="A4" s="16" t="s">
        <v>33</v>
      </c>
      <c r="B4" s="16"/>
      <c r="C4" s="16"/>
      <c r="D4" s="16" t="s">
        <v>34</v>
      </c>
      <c r="E4" s="16"/>
      <c r="F4" s="16"/>
      <c r="G4" s="16"/>
      <c r="H4" s="16"/>
    </row>
    <row r="5" spans="1:16" ht="15">
      <c r="A5" s="12" t="s">
        <v>35</v>
      </c>
      <c r="B5" s="13"/>
      <c r="C5" s="13"/>
      <c r="D5" s="13"/>
      <c r="E5" s="13"/>
      <c r="F5" s="13"/>
      <c r="G5" s="13"/>
      <c r="H5" s="13"/>
      <c r="I5" s="13"/>
      <c r="J5" s="13"/>
      <c r="K5" s="13"/>
      <c r="L5" s="13"/>
      <c r="M5" s="13"/>
      <c r="N5" s="13"/>
      <c r="O5" s="13"/>
      <c r="P5" s="13"/>
    </row>
    <row r="6" spans="1:16" ht="15">
      <c r="A6" s="13" t="s">
        <v>25</v>
      </c>
      <c r="B6" s="13" t="str">
        <f>IF(B1&lt;B3,"Standard treatment","Alternative treatment")</f>
        <v>Alternative treatment</v>
      </c>
      <c r="C6" s="13"/>
      <c r="D6" s="13"/>
      <c r="E6" s="13"/>
      <c r="F6" s="13"/>
      <c r="G6" s="13"/>
      <c r="H6" s="13"/>
      <c r="I6" s="13"/>
      <c r="J6" s="13"/>
      <c r="K6" s="13"/>
      <c r="L6" s="13"/>
      <c r="M6" s="13"/>
      <c r="N6" s="13"/>
      <c r="O6" s="13"/>
      <c r="P6" s="13"/>
    </row>
    <row r="7" spans="1:16" ht="15">
      <c r="A7" s="13" t="str">
        <f>"ARR"&amp;IF(B1&lt;0," (transformed)","")</f>
        <v>ARR</v>
      </c>
      <c r="B7" s="13">
        <f>ABS(B1)</f>
        <v>0.1</v>
      </c>
      <c r="C7" s="13"/>
      <c r="D7" s="13" t="s">
        <v>4</v>
      </c>
      <c r="E7" s="13"/>
      <c r="F7" s="13"/>
      <c r="G7" s="13"/>
      <c r="H7" s="13"/>
      <c r="I7" s="13"/>
      <c r="J7" s="13"/>
      <c r="K7" s="13"/>
      <c r="L7" s="13"/>
      <c r="M7" s="13"/>
      <c r="N7" s="13"/>
      <c r="O7" s="13"/>
      <c r="P7" s="13"/>
    </row>
    <row r="8" spans="1:16" ht="15">
      <c r="A8" s="13" t="s">
        <v>26</v>
      </c>
      <c r="B8" s="13">
        <f>B2</f>
        <v>0.1</v>
      </c>
      <c r="C8" s="13"/>
      <c r="D8" s="13" t="s">
        <v>5</v>
      </c>
      <c r="E8" s="13"/>
      <c r="F8" s="13"/>
      <c r="G8" s="13"/>
      <c r="H8" s="13"/>
      <c r="I8" s="13"/>
      <c r="J8" s="13"/>
      <c r="K8" s="13"/>
      <c r="L8" s="13"/>
      <c r="M8" s="13"/>
      <c r="N8" s="13"/>
      <c r="O8" s="13"/>
      <c r="P8" s="13"/>
    </row>
    <row r="9" spans="1:16" ht="15">
      <c r="A9" s="13" t="str">
        <f>"ARRt"&amp;IF(B1&lt;0," (transformed)","")</f>
        <v>ARRt</v>
      </c>
      <c r="B9" s="13">
        <f>B3*SIGN(B1)</f>
        <v>0</v>
      </c>
      <c r="C9" s="13"/>
      <c r="D9" s="13" t="s">
        <v>6</v>
      </c>
      <c r="E9" s="13"/>
      <c r="F9" s="13"/>
      <c r="G9" s="13"/>
      <c r="H9" s="13"/>
      <c r="I9" s="13"/>
      <c r="J9" s="13"/>
      <c r="K9" s="13"/>
      <c r="L9" s="13"/>
      <c r="M9" s="13"/>
      <c r="N9" s="13"/>
      <c r="O9" s="13"/>
      <c r="P9" s="13"/>
    </row>
    <row r="10" spans="1:16" ht="15">
      <c r="A10" s="13" t="s">
        <v>33</v>
      </c>
      <c r="B10" s="13">
        <f>B4</f>
        <v>0</v>
      </c>
      <c r="C10" s="13"/>
      <c r="D10" s="13" t="s">
        <v>34</v>
      </c>
      <c r="E10" s="13"/>
      <c r="F10" s="13"/>
      <c r="G10" s="13"/>
      <c r="H10" s="13"/>
      <c r="I10" s="13"/>
      <c r="J10" s="13"/>
      <c r="K10" s="13"/>
      <c r="L10" s="13"/>
      <c r="M10" s="13"/>
      <c r="N10" s="13"/>
      <c r="O10" s="13"/>
      <c r="P10" s="13"/>
    </row>
    <row r="11" spans="1:16" ht="15">
      <c r="A11" s="13" t="s">
        <v>28</v>
      </c>
      <c r="B11" s="13">
        <f>MAX(0,B7-B9)</f>
        <v>0.1</v>
      </c>
      <c r="C11" s="13"/>
      <c r="D11" s="13"/>
      <c r="E11" s="13"/>
      <c r="F11" s="13"/>
      <c r="G11" s="13"/>
      <c r="H11" s="13"/>
      <c r="I11" s="13"/>
      <c r="J11" s="13"/>
      <c r="K11" s="13"/>
      <c r="L11" s="13"/>
      <c r="M11" s="13"/>
      <c r="N11" s="13"/>
      <c r="O11" s="13"/>
      <c r="P11" s="13"/>
    </row>
    <row r="12" spans="1:16" ht="15">
      <c r="A12" s="13" t="s">
        <v>50</v>
      </c>
      <c r="B12" s="13">
        <f>SQRT(B2^2+B4^2)</f>
        <v>0.1</v>
      </c>
      <c r="C12" s="13"/>
      <c r="D12" s="13"/>
      <c r="E12" s="13"/>
      <c r="F12" s="13"/>
      <c r="G12" s="13"/>
      <c r="H12" s="13"/>
      <c r="I12" s="13"/>
      <c r="J12" s="13"/>
      <c r="K12" s="13"/>
      <c r="L12" s="13"/>
      <c r="M12" s="13"/>
      <c r="N12" s="13"/>
      <c r="O12" s="13"/>
      <c r="P12" s="13"/>
    </row>
    <row r="13" spans="1:16" ht="15">
      <c r="A13" s="13" t="s">
        <v>29</v>
      </c>
      <c r="B13" s="13">
        <f>B12*NORMDIST((B7-B9)/B12,0,1,FALSE)+(B7-B9)*NORMDIST((B7-B9)/B12,0,1,TRUE)</f>
        <v>0.10833154705876864</v>
      </c>
      <c r="C13" s="13"/>
      <c r="D13" s="13"/>
      <c r="E13" s="13"/>
      <c r="F13" s="13"/>
      <c r="G13" s="13"/>
      <c r="H13" s="13"/>
      <c r="I13" s="13"/>
      <c r="J13" s="13"/>
      <c r="K13" s="13"/>
      <c r="L13" s="13"/>
      <c r="M13" s="13"/>
      <c r="N13" s="13"/>
      <c r="O13" s="13"/>
      <c r="P13" s="13"/>
    </row>
    <row r="14" spans="1:16" ht="15">
      <c r="A14" s="13" t="s">
        <v>27</v>
      </c>
      <c r="B14" s="13">
        <f>B13-B11</f>
        <v>0.008331547058768637</v>
      </c>
      <c r="C14" s="13"/>
      <c r="D14" s="13"/>
      <c r="E14" s="13"/>
      <c r="F14" s="13"/>
      <c r="G14" s="13"/>
      <c r="H14" s="13"/>
      <c r="I14" s="13"/>
      <c r="J14" s="13"/>
      <c r="K14" s="13"/>
      <c r="L14" s="13"/>
      <c r="M14" s="13"/>
      <c r="N14" s="13"/>
      <c r="O14" s="13"/>
      <c r="P14" s="13"/>
    </row>
    <row r="16" spans="1:16" s="20" customFormat="1" ht="21">
      <c r="A16" s="18" t="s">
        <v>11</v>
      </c>
      <c r="B16" s="19"/>
      <c r="C16" s="19"/>
      <c r="D16" s="19"/>
      <c r="E16" s="19"/>
      <c r="F16" s="19"/>
      <c r="G16" s="19"/>
      <c r="H16" s="19"/>
      <c r="I16" s="19"/>
      <c r="J16" s="19"/>
      <c r="K16" s="19"/>
      <c r="L16" s="19"/>
      <c r="M16" s="19"/>
      <c r="N16" s="19"/>
      <c r="O16" s="19"/>
      <c r="P16" s="19"/>
    </row>
    <row r="17" spans="1:16" s="20" customFormat="1" ht="21">
      <c r="A17" s="19" t="s">
        <v>30</v>
      </c>
      <c r="B17" s="21">
        <f>IF(B14&lt;0.00000000001,"Inf",ROUND(1/(B14),2))</f>
        <v>120.03</v>
      </c>
      <c r="C17" s="19"/>
      <c r="D17" s="19"/>
      <c r="E17" s="19"/>
      <c r="F17" s="19"/>
      <c r="G17" s="19"/>
      <c r="H17" s="19"/>
      <c r="I17" s="19"/>
      <c r="J17" s="19"/>
      <c r="K17" s="19"/>
      <c r="L17" s="19"/>
      <c r="M17" s="19"/>
      <c r="N17" s="19"/>
      <c r="O17" s="19"/>
      <c r="P17" s="19"/>
    </row>
    <row r="18" spans="1:16" s="20" customFormat="1" ht="21">
      <c r="A18" s="19" t="s">
        <v>36</v>
      </c>
      <c r="B18" s="22">
        <f>IF(ISNUMBER(B17),1/B7/B17,0)</f>
        <v>0.08331250520703158</v>
      </c>
      <c r="C18" s="19"/>
      <c r="D18" s="19" t="s">
        <v>7</v>
      </c>
      <c r="E18" s="19"/>
      <c r="F18" s="19"/>
      <c r="G18" s="19"/>
      <c r="H18" s="19"/>
      <c r="I18" s="19"/>
      <c r="J18" s="19"/>
      <c r="K18" s="19"/>
      <c r="L18" s="19"/>
      <c r="M18" s="19"/>
      <c r="N18" s="19"/>
      <c r="O18" s="19"/>
      <c r="P18" s="19"/>
    </row>
    <row r="24" ht="15.75">
      <c r="A24" s="23"/>
    </row>
  </sheetData>
  <sheetProtection sheet="1" select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P25"/>
  <sheetViews>
    <sheetView zoomScalePageLayoutView="0" workbookViewId="0" topLeftCell="A1">
      <selection activeCell="B19" sqref="B19"/>
    </sheetView>
  </sheetViews>
  <sheetFormatPr defaultColWidth="9.140625" defaultRowHeight="15"/>
  <cols>
    <col min="1" max="1" width="53.7109375" style="14" bestFit="1" customWidth="1"/>
    <col min="2" max="2" width="26.28125" style="14" customWidth="1"/>
    <col min="3" max="3" width="12.00390625" style="14" bestFit="1" customWidth="1"/>
    <col min="4" max="15" width="9.140625" style="14" customWidth="1"/>
    <col min="16" max="16" width="15.7109375" style="14" customWidth="1"/>
    <col min="17" max="16384" width="9.140625" style="14" customWidth="1"/>
  </cols>
  <sheetData>
    <row r="1" spans="1:16" ht="18.75">
      <c r="A1" s="24" t="s">
        <v>40</v>
      </c>
      <c r="B1" s="16"/>
      <c r="C1" s="16"/>
      <c r="D1" s="16"/>
      <c r="E1" s="16"/>
      <c r="F1" s="16"/>
      <c r="G1" s="16"/>
      <c r="H1" s="16"/>
      <c r="I1" s="16"/>
      <c r="J1" s="16"/>
      <c r="K1" s="16"/>
      <c r="L1" s="16"/>
      <c r="M1" s="16"/>
      <c r="N1" s="16"/>
      <c r="O1" s="16"/>
      <c r="P1" s="16"/>
    </row>
    <row r="2" spans="1:16" ht="18.75">
      <c r="A2" s="16" t="s">
        <v>0</v>
      </c>
      <c r="B2" s="25">
        <v>10</v>
      </c>
      <c r="C2" s="16"/>
      <c r="D2" s="16"/>
      <c r="E2" s="16"/>
      <c r="F2" s="16"/>
      <c r="G2" s="16"/>
      <c r="H2" s="16"/>
      <c r="I2" s="16"/>
      <c r="J2" s="16"/>
      <c r="K2" s="16"/>
      <c r="L2" s="16"/>
      <c r="M2" s="16"/>
      <c r="N2" s="16"/>
      <c r="O2" s="16"/>
      <c r="P2" s="16"/>
    </row>
    <row r="3" spans="1:16" ht="18.75">
      <c r="A3" s="16" t="s">
        <v>32</v>
      </c>
      <c r="B3" s="25">
        <v>-10.42</v>
      </c>
      <c r="C3" s="16"/>
      <c r="D3" s="16" t="s">
        <v>10</v>
      </c>
      <c r="E3" s="16"/>
      <c r="F3" s="16"/>
      <c r="G3" s="16"/>
      <c r="H3" s="16"/>
      <c r="I3" s="16"/>
      <c r="J3" s="16"/>
      <c r="K3" s="16"/>
      <c r="L3" s="16"/>
      <c r="M3" s="16"/>
      <c r="N3" s="16"/>
      <c r="O3" s="16"/>
      <c r="P3" s="16"/>
    </row>
    <row r="4" spans="1:16" ht="18.75">
      <c r="A4" s="16" t="s">
        <v>2</v>
      </c>
      <c r="B4" s="25" t="s">
        <v>9</v>
      </c>
      <c r="C4" s="16"/>
      <c r="D4" s="16" t="s">
        <v>8</v>
      </c>
      <c r="E4" s="16"/>
      <c r="F4" s="16"/>
      <c r="G4" s="16"/>
      <c r="H4" s="16"/>
      <c r="I4" s="16"/>
      <c r="J4" s="16"/>
      <c r="K4" s="16"/>
      <c r="L4" s="16"/>
      <c r="M4" s="16"/>
      <c r="N4" s="16"/>
      <c r="O4" s="16"/>
      <c r="P4" s="16"/>
    </row>
    <row r="5" spans="1:16" ht="18.75">
      <c r="A5" s="16" t="s">
        <v>41</v>
      </c>
      <c r="B5" s="25"/>
      <c r="C5" s="16"/>
      <c r="D5" s="16" t="s">
        <v>46</v>
      </c>
      <c r="E5" s="16"/>
      <c r="F5" s="16"/>
      <c r="G5" s="16"/>
      <c r="H5" s="16"/>
      <c r="I5" s="16"/>
      <c r="J5" s="16"/>
      <c r="K5" s="16"/>
      <c r="L5" s="16"/>
      <c r="M5" s="16"/>
      <c r="N5" s="16"/>
      <c r="O5" s="16"/>
      <c r="P5" s="16"/>
    </row>
    <row r="6" ht="15">
      <c r="B6" s="15"/>
    </row>
    <row r="7" spans="1:16" s="26" customFormat="1" ht="15">
      <c r="A7" s="12" t="s">
        <v>35</v>
      </c>
      <c r="B7" s="13"/>
      <c r="C7" s="13"/>
      <c r="D7" s="13"/>
      <c r="E7" s="13"/>
      <c r="F7" s="13"/>
      <c r="G7" s="13"/>
      <c r="H7" s="13"/>
      <c r="I7" s="13"/>
      <c r="J7" s="13"/>
      <c r="K7" s="13"/>
      <c r="L7" s="13"/>
      <c r="M7" s="13"/>
      <c r="N7" s="13"/>
      <c r="O7" s="13"/>
      <c r="P7" s="13"/>
    </row>
    <row r="8" spans="1:16" s="26" customFormat="1" ht="15">
      <c r="A8" s="13" t="s">
        <v>25</v>
      </c>
      <c r="B8" s="13" t="str">
        <f>IF(B9&lt;B11,"Standard treatment","Alternative treatment")</f>
        <v>Alternative treatment</v>
      </c>
      <c r="C8" s="13"/>
      <c r="D8" s="13"/>
      <c r="E8" s="13"/>
      <c r="F8" s="13"/>
      <c r="G8" s="13"/>
      <c r="H8" s="13"/>
      <c r="I8" s="13"/>
      <c r="J8" s="13"/>
      <c r="K8" s="13"/>
      <c r="L8" s="13"/>
      <c r="M8" s="13"/>
      <c r="N8" s="13"/>
      <c r="O8" s="13"/>
      <c r="P8" s="13"/>
    </row>
    <row r="9" spans="1:16" s="26" customFormat="1" ht="15">
      <c r="A9" s="13" t="s">
        <v>1</v>
      </c>
      <c r="B9" s="13">
        <f>ABS(1/B2)</f>
        <v>0.1</v>
      </c>
      <c r="C9" s="13"/>
      <c r="D9" s="13" t="s">
        <v>4</v>
      </c>
      <c r="E9" s="13"/>
      <c r="F9" s="13"/>
      <c r="G9" s="13"/>
      <c r="H9" s="13"/>
      <c r="I9" s="13"/>
      <c r="J9" s="13"/>
      <c r="K9" s="13"/>
      <c r="L9" s="13"/>
      <c r="M9" s="13"/>
      <c r="N9" s="13"/>
      <c r="O9" s="13"/>
      <c r="P9" s="13"/>
    </row>
    <row r="10" spans="1:16" s="26" customFormat="1" ht="15">
      <c r="A10" s="13" t="s">
        <v>26</v>
      </c>
      <c r="B10" s="13">
        <f>ABS((1/B3)*SIGN(B2)-B9)/1.96</f>
        <v>0.09998433154451801</v>
      </c>
      <c r="C10" s="13"/>
      <c r="D10" s="13" t="s">
        <v>5</v>
      </c>
      <c r="E10" s="13"/>
      <c r="F10" s="13"/>
      <c r="G10" s="13"/>
      <c r="H10" s="13"/>
      <c r="I10" s="13"/>
      <c r="J10" s="13"/>
      <c r="K10" s="13"/>
      <c r="L10" s="13"/>
      <c r="M10" s="13"/>
      <c r="N10" s="13"/>
      <c r="O10" s="13"/>
      <c r="P10" s="13"/>
    </row>
    <row r="11" spans="1:16" s="26" customFormat="1" ht="15">
      <c r="A11" s="13" t="s">
        <v>3</v>
      </c>
      <c r="B11" s="13">
        <f>IF(UPPER(B4)="INF",0,1/B4*SIGN(B2))</f>
        <v>0</v>
      </c>
      <c r="C11" s="13"/>
      <c r="D11" s="13" t="s">
        <v>6</v>
      </c>
      <c r="E11" s="13"/>
      <c r="F11" s="13"/>
      <c r="G11" s="13"/>
      <c r="H11" s="13"/>
      <c r="I11" s="13"/>
      <c r="J11" s="13"/>
      <c r="K11" s="13"/>
      <c r="L11" s="13"/>
      <c r="M11" s="13"/>
      <c r="N11" s="13"/>
      <c r="O11" s="13"/>
      <c r="P11" s="13"/>
    </row>
    <row r="12" spans="1:16" s="26" customFormat="1" ht="15">
      <c r="A12" s="13" t="s">
        <v>33</v>
      </c>
      <c r="B12" s="13">
        <f>IF(B5="",0,ABS(1/B5-B11)/1.96)</f>
        <v>0</v>
      </c>
      <c r="C12" s="13"/>
      <c r="D12" s="13" t="s">
        <v>34</v>
      </c>
      <c r="E12" s="13"/>
      <c r="F12" s="13"/>
      <c r="G12" s="13"/>
      <c r="H12" s="13"/>
      <c r="I12" s="13"/>
      <c r="J12" s="13"/>
      <c r="K12" s="13"/>
      <c r="L12" s="13"/>
      <c r="M12" s="13"/>
      <c r="N12" s="13"/>
      <c r="O12" s="13"/>
      <c r="P12" s="13"/>
    </row>
    <row r="13" spans="1:16" s="26" customFormat="1" ht="15">
      <c r="A13" s="13" t="s">
        <v>28</v>
      </c>
      <c r="B13" s="13">
        <f>MAX(0,B9-B11)</f>
        <v>0.1</v>
      </c>
      <c r="C13" s="13"/>
      <c r="D13" s="13"/>
      <c r="E13" s="13"/>
      <c r="F13" s="13"/>
      <c r="G13" s="13"/>
      <c r="H13" s="13"/>
      <c r="I13" s="13"/>
      <c r="J13" s="13"/>
      <c r="K13" s="13"/>
      <c r="L13" s="13"/>
      <c r="M13" s="13"/>
      <c r="N13" s="13"/>
      <c r="O13" s="13"/>
      <c r="P13" s="13"/>
    </row>
    <row r="14" spans="1:16" s="26" customFormat="1" ht="15">
      <c r="A14" s="13" t="s">
        <v>29</v>
      </c>
      <c r="B14" s="13">
        <f>B10*NORMDIST((B9-B11)/SQRT(B10^2+B12^2),0,1,FALSE)+(B9-B11)*NORMDIST((B9-B11)/SQRT(B10^2+B12^2),0,1,TRUE)</f>
        <v>0.10832775604829424</v>
      </c>
      <c r="C14" s="13"/>
      <c r="D14" s="13"/>
      <c r="E14" s="13"/>
      <c r="F14" s="13"/>
      <c r="G14" s="13"/>
      <c r="H14" s="13"/>
      <c r="I14" s="13"/>
      <c r="J14" s="13"/>
      <c r="K14" s="13"/>
      <c r="L14" s="13"/>
      <c r="M14" s="13"/>
      <c r="N14" s="13"/>
      <c r="O14" s="13"/>
      <c r="P14" s="13"/>
    </row>
    <row r="15" spans="1:16" s="26" customFormat="1" ht="15">
      <c r="A15" s="13" t="s">
        <v>27</v>
      </c>
      <c r="B15" s="13">
        <f>B14-B13</f>
        <v>0.008327756048294235</v>
      </c>
      <c r="C15" s="13"/>
      <c r="D15" s="13"/>
      <c r="E15" s="13"/>
      <c r="F15" s="13"/>
      <c r="G15" s="13"/>
      <c r="H15" s="13"/>
      <c r="I15" s="13"/>
      <c r="J15" s="13"/>
      <c r="K15" s="13"/>
      <c r="L15" s="13"/>
      <c r="M15" s="13"/>
      <c r="N15" s="13"/>
      <c r="O15" s="13"/>
      <c r="P15" s="13"/>
    </row>
    <row r="17" spans="1:16" s="20" customFormat="1" ht="21">
      <c r="A17" s="18" t="s">
        <v>11</v>
      </c>
      <c r="B17" s="19"/>
      <c r="C17" s="19"/>
      <c r="D17" s="19"/>
      <c r="E17" s="19"/>
      <c r="F17" s="19"/>
      <c r="G17" s="19"/>
      <c r="H17" s="19"/>
      <c r="I17" s="19"/>
      <c r="J17" s="19"/>
      <c r="K17" s="19"/>
      <c r="L17" s="19"/>
      <c r="M17" s="19"/>
      <c r="N17" s="19"/>
      <c r="O17" s="19"/>
      <c r="P17" s="19"/>
    </row>
    <row r="18" spans="1:16" s="20" customFormat="1" ht="21">
      <c r="A18" s="19" t="s">
        <v>30</v>
      </c>
      <c r="B18" s="21">
        <f>IF(B15&lt;0.00000000001,"Inf",ROUND(1/(B15),2))</f>
        <v>120.08</v>
      </c>
      <c r="C18" s="19"/>
      <c r="D18" s="19"/>
      <c r="E18" s="19"/>
      <c r="F18" s="19"/>
      <c r="G18" s="19"/>
      <c r="H18" s="19"/>
      <c r="I18" s="19"/>
      <c r="J18" s="19"/>
      <c r="K18" s="19"/>
      <c r="L18" s="19"/>
      <c r="M18" s="19"/>
      <c r="N18" s="19"/>
      <c r="O18" s="19"/>
      <c r="P18" s="19"/>
    </row>
    <row r="19" spans="1:16" s="20" customFormat="1" ht="21">
      <c r="A19" s="19" t="s">
        <v>36</v>
      </c>
      <c r="B19" s="22">
        <f>IF(ISNUMBER(B18),1/B9/B18,0)</f>
        <v>0.0832778147901399</v>
      </c>
      <c r="C19" s="19"/>
      <c r="D19" s="19" t="s">
        <v>7</v>
      </c>
      <c r="E19" s="19"/>
      <c r="F19" s="19"/>
      <c r="G19" s="19"/>
      <c r="H19" s="19"/>
      <c r="I19" s="19"/>
      <c r="J19" s="19"/>
      <c r="K19" s="19"/>
      <c r="L19" s="19"/>
      <c r="M19" s="19"/>
      <c r="N19" s="19"/>
      <c r="O19" s="19"/>
      <c r="P19" s="19"/>
    </row>
    <row r="25" ht="15.75">
      <c r="A25" s="23"/>
    </row>
  </sheetData>
  <sheetProtection sheet="1" select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P22"/>
  <sheetViews>
    <sheetView tabSelected="1" zoomScalePageLayoutView="0" workbookViewId="0" topLeftCell="A1">
      <selection activeCell="A22" sqref="A22"/>
    </sheetView>
  </sheetViews>
  <sheetFormatPr defaultColWidth="9.140625" defaultRowHeight="15"/>
  <cols>
    <col min="1" max="1" width="53.7109375" style="14" bestFit="1" customWidth="1"/>
    <col min="2" max="2" width="21.00390625" style="14" customWidth="1"/>
    <col min="3" max="3" width="12.00390625" style="14" bestFit="1" customWidth="1"/>
    <col min="4" max="15" width="9.140625" style="14" customWidth="1"/>
    <col min="16" max="16" width="15.7109375" style="14" customWidth="1"/>
    <col min="17" max="16384" width="9.140625" style="14" customWidth="1"/>
  </cols>
  <sheetData>
    <row r="1" spans="1:8" s="17" customFormat="1" ht="18.75">
      <c r="A1" s="16" t="s">
        <v>54</v>
      </c>
      <c r="B1" s="16">
        <v>30</v>
      </c>
      <c r="C1" s="16"/>
      <c r="D1" s="16"/>
      <c r="E1" s="16"/>
      <c r="F1" s="16"/>
      <c r="G1" s="16"/>
      <c r="H1" s="16"/>
    </row>
    <row r="2" spans="1:8" s="17" customFormat="1" ht="18.75">
      <c r="A2" s="16" t="s">
        <v>55</v>
      </c>
      <c r="B2" s="16">
        <v>20</v>
      </c>
      <c r="C2" s="16"/>
      <c r="D2" s="16"/>
      <c r="E2" s="16"/>
      <c r="F2" s="16"/>
      <c r="G2" s="16"/>
      <c r="H2" s="16"/>
    </row>
    <row r="3" spans="1:8" s="17" customFormat="1" ht="18.75">
      <c r="A3" s="16" t="s">
        <v>56</v>
      </c>
      <c r="B3" s="16">
        <v>25</v>
      </c>
      <c r="C3" s="16"/>
      <c r="D3" s="16"/>
      <c r="E3" s="16"/>
      <c r="F3" s="16"/>
      <c r="G3" s="16"/>
      <c r="H3" s="16"/>
    </row>
    <row r="4" spans="1:8" s="17" customFormat="1" ht="18.75">
      <c r="A4" s="16" t="s">
        <v>57</v>
      </c>
      <c r="B4" s="16">
        <v>25</v>
      </c>
      <c r="C4" s="16"/>
      <c r="D4" s="16"/>
      <c r="E4" s="16"/>
      <c r="F4" s="16"/>
      <c r="G4" s="16"/>
      <c r="H4" s="16"/>
    </row>
    <row r="5" spans="1:8" s="17" customFormat="1" ht="18.75">
      <c r="A5" s="16" t="s">
        <v>3</v>
      </c>
      <c r="B5" s="16">
        <v>0</v>
      </c>
      <c r="C5" s="16"/>
      <c r="D5" s="16" t="s">
        <v>6</v>
      </c>
      <c r="E5" s="16"/>
      <c r="F5" s="16"/>
      <c r="G5" s="16"/>
      <c r="H5" s="16"/>
    </row>
    <row r="6" spans="1:8" s="17" customFormat="1" ht="18.75">
      <c r="A6" s="16" t="s">
        <v>33</v>
      </c>
      <c r="B6" s="16"/>
      <c r="C6" s="16"/>
      <c r="D6" s="16" t="s">
        <v>34</v>
      </c>
      <c r="E6" s="16"/>
      <c r="F6" s="16"/>
      <c r="G6" s="16"/>
      <c r="H6" s="16"/>
    </row>
    <row r="7" spans="1:8" s="17" customFormat="1" ht="18.75">
      <c r="A7" s="16" t="s">
        <v>58</v>
      </c>
      <c r="B7" s="16">
        <v>10000</v>
      </c>
      <c r="C7" s="16"/>
      <c r="D7" s="16"/>
      <c r="E7" s="16"/>
      <c r="F7" s="16"/>
      <c r="G7" s="16"/>
      <c r="H7" s="16"/>
    </row>
    <row r="8" spans="1:16" s="26" customFormat="1" ht="15">
      <c r="A8" s="12" t="s">
        <v>35</v>
      </c>
      <c r="B8" s="13"/>
      <c r="C8" s="13"/>
      <c r="D8" s="13"/>
      <c r="E8" s="13"/>
      <c r="F8" s="13"/>
      <c r="G8" s="13"/>
      <c r="H8" s="13"/>
      <c r="I8" s="13"/>
      <c r="J8" s="13"/>
      <c r="K8" s="13"/>
      <c r="L8" s="13"/>
      <c r="M8" s="13"/>
      <c r="N8" s="13"/>
      <c r="O8" s="13"/>
      <c r="P8" s="13"/>
    </row>
    <row r="9" spans="1:16" s="26" customFormat="1" ht="15">
      <c r="A9" s="13" t="s">
        <v>25</v>
      </c>
      <c r="B9" s="13" t="str">
        <f>IF(B1/(B1+B2)&lt;B3/(B3+B4),"Standard treatment","Alternative treatment")</f>
        <v>Alternative treatment</v>
      </c>
      <c r="C9" s="13"/>
      <c r="D9" s="13"/>
      <c r="E9" s="13"/>
      <c r="F9" s="13"/>
      <c r="G9" s="13"/>
      <c r="H9" s="13"/>
      <c r="I9" s="13"/>
      <c r="J9" s="13"/>
      <c r="K9" s="13"/>
      <c r="L9" s="13"/>
      <c r="M9" s="13"/>
      <c r="N9" s="13"/>
      <c r="O9" s="13"/>
      <c r="P9" s="13"/>
    </row>
    <row r="10" spans="1:16" s="26" customFormat="1" ht="15">
      <c r="A10" s="13" t="str">
        <f>"ARR"&amp;IF(B1&lt;0," (transformed)","")</f>
        <v>ARR</v>
      </c>
      <c r="B10" s="13">
        <f>ABS(B1/(B1+B2)-B3/(B3+B4))</f>
        <v>0.09999999999999998</v>
      </c>
      <c r="C10" s="13"/>
      <c r="D10" s="13" t="s">
        <v>4</v>
      </c>
      <c r="E10" s="13"/>
      <c r="F10" s="13"/>
      <c r="G10" s="13"/>
      <c r="H10" s="13"/>
      <c r="I10" s="13"/>
      <c r="J10" s="13"/>
      <c r="K10" s="13"/>
      <c r="L10" s="13"/>
      <c r="M10" s="13"/>
      <c r="N10" s="13"/>
      <c r="O10" s="13"/>
      <c r="P10" s="13"/>
    </row>
    <row r="11" spans="1:16" s="26" customFormat="1" ht="15">
      <c r="A11" s="13" t="s">
        <v>26</v>
      </c>
      <c r="B11" s="13">
        <f>SQRT(B1/(B1+B2)*B2/(B1+B2)/(B1+B2)+B3/(B3+B4)*B4/(B3+B4)/(B3+B4))</f>
        <v>0.09899494936611665</v>
      </c>
      <c r="C11" s="13"/>
      <c r="D11" s="13" t="s">
        <v>5</v>
      </c>
      <c r="E11" s="13"/>
      <c r="F11" s="13"/>
      <c r="G11" s="13"/>
      <c r="H11" s="13"/>
      <c r="I11" s="13"/>
      <c r="J11" s="13"/>
      <c r="K11" s="13"/>
      <c r="L11" s="13"/>
      <c r="M11" s="13"/>
      <c r="N11" s="13"/>
      <c r="O11" s="13"/>
      <c r="P11" s="13"/>
    </row>
    <row r="12" spans="1:16" s="26" customFormat="1" ht="15">
      <c r="A12" s="13" t="str">
        <f>"ARRt"&amp;IF(B1&lt;0," (transformed)","")</f>
        <v>ARRt</v>
      </c>
      <c r="B12" s="13">
        <f>B5</f>
        <v>0</v>
      </c>
      <c r="C12" s="13"/>
      <c r="D12" s="13" t="s">
        <v>6</v>
      </c>
      <c r="E12" s="13"/>
      <c r="F12" s="13"/>
      <c r="G12" s="13"/>
      <c r="H12" s="13"/>
      <c r="I12" s="13"/>
      <c r="J12" s="13"/>
      <c r="K12" s="13"/>
      <c r="L12" s="13"/>
      <c r="M12" s="13"/>
      <c r="N12" s="13"/>
      <c r="O12" s="13"/>
      <c r="P12" s="13"/>
    </row>
    <row r="13" spans="1:16" s="26" customFormat="1" ht="15">
      <c r="A13" s="13" t="s">
        <v>33</v>
      </c>
      <c r="B13" s="13">
        <f>B6</f>
        <v>0</v>
      </c>
      <c r="C13" s="13"/>
      <c r="D13" s="13" t="s">
        <v>34</v>
      </c>
      <c r="E13" s="13"/>
      <c r="F13" s="13"/>
      <c r="G13" s="13"/>
      <c r="H13" s="13"/>
      <c r="I13" s="13"/>
      <c r="J13" s="13"/>
      <c r="K13" s="13"/>
      <c r="L13" s="13"/>
      <c r="M13" s="13"/>
      <c r="N13" s="13"/>
      <c r="O13" s="13"/>
      <c r="P13" s="13"/>
    </row>
    <row r="14" spans="1:16" s="26" customFormat="1" ht="15">
      <c r="A14" s="13" t="s">
        <v>28</v>
      </c>
      <c r="B14" s="13">
        <f>B10</f>
        <v>0.09999999999999998</v>
      </c>
      <c r="C14" s="13"/>
      <c r="D14" s="13"/>
      <c r="E14" s="13"/>
      <c r="F14" s="13"/>
      <c r="G14" s="13"/>
      <c r="H14" s="13"/>
      <c r="I14" s="13"/>
      <c r="J14" s="13"/>
      <c r="K14" s="13"/>
      <c r="L14" s="13"/>
      <c r="M14" s="13"/>
      <c r="N14" s="13"/>
      <c r="O14" s="13"/>
      <c r="P14" s="13"/>
    </row>
    <row r="15" spans="1:16" s="26" customFormat="1" ht="15">
      <c r="A15" s="13" t="s">
        <v>29</v>
      </c>
      <c r="B15" s="27">
        <v>0.071657591599226</v>
      </c>
      <c r="C15" s="13"/>
      <c r="D15" s="13"/>
      <c r="E15" s="13"/>
      <c r="F15" s="13"/>
      <c r="G15" s="13"/>
      <c r="H15" s="13"/>
      <c r="I15" s="13"/>
      <c r="J15" s="13"/>
      <c r="K15" s="13"/>
      <c r="L15" s="13"/>
      <c r="M15" s="13"/>
      <c r="N15" s="13"/>
      <c r="O15" s="13"/>
      <c r="P15" s="13"/>
    </row>
    <row r="16" spans="1:16" s="26" customFormat="1" ht="15">
      <c r="A16" s="13" t="s">
        <v>27</v>
      </c>
      <c r="B16" s="13">
        <f>B15-B14</f>
        <v>-0.028342408400773983</v>
      </c>
      <c r="C16" s="13"/>
      <c r="D16" s="13"/>
      <c r="E16" s="13"/>
      <c r="F16" s="13"/>
      <c r="G16" s="13"/>
      <c r="H16" s="13"/>
      <c r="I16" s="13"/>
      <c r="J16" s="13"/>
      <c r="K16" s="13"/>
      <c r="L16" s="13"/>
      <c r="M16" s="13"/>
      <c r="N16" s="13"/>
      <c r="O16" s="13"/>
      <c r="P16" s="13"/>
    </row>
    <row r="18" spans="1:16" s="20" customFormat="1" ht="21">
      <c r="A18" s="18" t="s">
        <v>11</v>
      </c>
      <c r="B18" s="19"/>
      <c r="C18" s="19"/>
      <c r="D18" s="19"/>
      <c r="E18" s="19"/>
      <c r="F18" s="19"/>
      <c r="G18" s="19"/>
      <c r="H18" s="19"/>
      <c r="I18" s="19"/>
      <c r="J18" s="19"/>
      <c r="K18" s="19"/>
      <c r="L18" s="19"/>
      <c r="M18" s="19"/>
      <c r="N18" s="19"/>
      <c r="O18" s="19"/>
      <c r="P18" s="19"/>
    </row>
    <row r="19" spans="1:16" s="20" customFormat="1" ht="21">
      <c r="A19" s="19" t="s">
        <v>30</v>
      </c>
      <c r="B19" s="21">
        <f>ROUND(1/(B16),2)</f>
        <v>-35.28</v>
      </c>
      <c r="C19" s="19"/>
      <c r="D19" s="19"/>
      <c r="E19" s="19"/>
      <c r="F19" s="19"/>
      <c r="G19" s="19"/>
      <c r="H19" s="19"/>
      <c r="I19" s="19"/>
      <c r="J19" s="19"/>
      <c r="K19" s="19"/>
      <c r="L19" s="19"/>
      <c r="M19" s="19"/>
      <c r="N19" s="19"/>
      <c r="O19" s="19"/>
      <c r="P19" s="19"/>
    </row>
    <row r="20" spans="1:16" s="20" customFormat="1" ht="21">
      <c r="A20" s="19" t="s">
        <v>36</v>
      </c>
      <c r="B20" s="22">
        <f>B16/B14</f>
        <v>-0.2834240840077399</v>
      </c>
      <c r="C20" s="19"/>
      <c r="D20" s="19" t="s">
        <v>7</v>
      </c>
      <c r="E20" s="19"/>
      <c r="F20" s="19"/>
      <c r="G20" s="19"/>
      <c r="H20" s="19"/>
      <c r="I20" s="19"/>
      <c r="J20" s="19"/>
      <c r="K20" s="19"/>
      <c r="L20" s="19"/>
      <c r="M20" s="19"/>
      <c r="N20" s="19"/>
      <c r="O20" s="19"/>
      <c r="P20" s="19"/>
    </row>
    <row r="22" ht="15">
      <c r="A22" s="29" t="s">
        <v>67</v>
      </c>
    </row>
  </sheetData>
  <sheetProtection sheet="1" selectLockedCells="1"/>
  <printOptions/>
  <pageMargins left="0.7" right="0.7" top="0.75" bottom="0.75" header="0.3" footer="0.3"/>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6"/>
  <dimension ref="A1:T44"/>
  <sheetViews>
    <sheetView zoomScalePageLayoutView="0" workbookViewId="0" topLeftCell="A1">
      <selection activeCell="D30" sqref="D30"/>
    </sheetView>
  </sheetViews>
  <sheetFormatPr defaultColWidth="9.140625" defaultRowHeight="15"/>
  <cols>
    <col min="1" max="1" width="31.8515625" style="0" bestFit="1" customWidth="1"/>
    <col min="2" max="2" width="20.7109375" style="0" bestFit="1" customWidth="1"/>
    <col min="3" max="4" width="13.421875" style="0" bestFit="1" customWidth="1"/>
    <col min="5" max="5" width="18.8515625" style="0" bestFit="1" customWidth="1"/>
    <col min="6" max="8" width="20.421875" style="0" bestFit="1" customWidth="1"/>
    <col min="9" max="9" width="14.7109375" style="0" bestFit="1" customWidth="1"/>
    <col min="10" max="10" width="17.00390625" style="0" bestFit="1" customWidth="1"/>
    <col min="11" max="11" width="12.28125" style="0" bestFit="1" customWidth="1"/>
    <col min="12" max="12" width="13.421875" style="0" bestFit="1" customWidth="1"/>
    <col min="14" max="14" width="13.28125" style="0" bestFit="1" customWidth="1"/>
  </cols>
  <sheetData>
    <row r="1" spans="2:12" ht="15">
      <c r="B1" s="1" t="s">
        <v>14</v>
      </c>
      <c r="C1" s="1" t="s">
        <v>15</v>
      </c>
      <c r="D1" s="1" t="s">
        <v>16</v>
      </c>
      <c r="E1" s="1" t="s">
        <v>17</v>
      </c>
      <c r="F1" s="1" t="s">
        <v>18</v>
      </c>
      <c r="G1" s="1" t="s">
        <v>19</v>
      </c>
      <c r="H1" s="1" t="s">
        <v>20</v>
      </c>
      <c r="I1" s="1" t="s">
        <v>21</v>
      </c>
      <c r="J1" s="1" t="s">
        <v>22</v>
      </c>
      <c r="K1" s="1" t="s">
        <v>23</v>
      </c>
      <c r="L1" s="1" t="s">
        <v>24</v>
      </c>
    </row>
    <row r="2" spans="1:12" ht="15">
      <c r="A2" t="s">
        <v>38</v>
      </c>
      <c r="B2">
        <v>15.8</v>
      </c>
      <c r="C2">
        <v>6.2</v>
      </c>
      <c r="D2">
        <v>9.5</v>
      </c>
      <c r="E2">
        <v>3.5</v>
      </c>
      <c r="F2">
        <v>7.2</v>
      </c>
      <c r="G2">
        <v>4</v>
      </c>
      <c r="H2">
        <v>2.5</v>
      </c>
      <c r="I2">
        <v>2.5</v>
      </c>
      <c r="J2">
        <v>2.5</v>
      </c>
      <c r="K2">
        <v>25</v>
      </c>
      <c r="L2">
        <v>14.3</v>
      </c>
    </row>
    <row r="3" spans="1:12" ht="15">
      <c r="A3" t="s">
        <v>39</v>
      </c>
      <c r="B3">
        <v>4</v>
      </c>
      <c r="C3">
        <v>2.5</v>
      </c>
      <c r="D3">
        <v>3.5</v>
      </c>
      <c r="E3">
        <v>4.8</v>
      </c>
      <c r="F3">
        <v>3.3</v>
      </c>
      <c r="G3">
        <v>7.6</v>
      </c>
      <c r="H3">
        <v>4.3</v>
      </c>
      <c r="I3">
        <v>7.6</v>
      </c>
      <c r="J3">
        <v>5.2</v>
      </c>
      <c r="K3">
        <v>3.7</v>
      </c>
      <c r="L3">
        <v>4</v>
      </c>
    </row>
    <row r="4" spans="1:14" ht="15">
      <c r="A4" t="s">
        <v>2</v>
      </c>
      <c r="B4" t="s">
        <v>9</v>
      </c>
      <c r="C4" t="s">
        <v>9</v>
      </c>
      <c r="D4" t="s">
        <v>9</v>
      </c>
      <c r="E4" t="s">
        <v>9</v>
      </c>
      <c r="F4" t="s">
        <v>9</v>
      </c>
      <c r="G4" t="s">
        <v>9</v>
      </c>
      <c r="H4" t="s">
        <v>9</v>
      </c>
      <c r="I4" t="s">
        <v>9</v>
      </c>
      <c r="J4" t="s">
        <v>9</v>
      </c>
      <c r="K4" t="s">
        <v>9</v>
      </c>
      <c r="L4" t="s">
        <v>9</v>
      </c>
      <c r="N4" t="s">
        <v>12</v>
      </c>
    </row>
    <row r="5" spans="1:12" ht="15">
      <c r="A5" t="s">
        <v>42</v>
      </c>
      <c r="B5">
        <v>23</v>
      </c>
      <c r="C5">
        <v>22</v>
      </c>
      <c r="D5">
        <v>30</v>
      </c>
      <c r="E5">
        <v>204</v>
      </c>
      <c r="F5">
        <v>24</v>
      </c>
      <c r="G5">
        <v>69</v>
      </c>
      <c r="H5">
        <v>42</v>
      </c>
      <c r="I5">
        <v>17</v>
      </c>
      <c r="J5">
        <v>27</v>
      </c>
      <c r="K5">
        <v>20</v>
      </c>
      <c r="L5">
        <v>34</v>
      </c>
    </row>
    <row r="6" spans="1:12" ht="15">
      <c r="A6" t="s">
        <v>43</v>
      </c>
      <c r="B6">
        <v>26</v>
      </c>
      <c r="C6">
        <v>34</v>
      </c>
      <c r="D6">
        <v>57</v>
      </c>
      <c r="E6">
        <v>269</v>
      </c>
      <c r="F6">
        <v>25</v>
      </c>
      <c r="G6">
        <v>120</v>
      </c>
      <c r="H6">
        <v>58</v>
      </c>
      <c r="I6">
        <v>20</v>
      </c>
      <c r="J6">
        <v>30</v>
      </c>
      <c r="K6">
        <v>25</v>
      </c>
      <c r="L6">
        <v>43</v>
      </c>
    </row>
    <row r="7" spans="1:12" ht="15">
      <c r="A7" t="s">
        <v>44</v>
      </c>
      <c r="B7">
        <v>23</v>
      </c>
      <c r="C7">
        <v>16</v>
      </c>
      <c r="D7">
        <v>24</v>
      </c>
      <c r="E7">
        <v>131</v>
      </c>
      <c r="F7">
        <v>23</v>
      </c>
      <c r="G7">
        <v>40</v>
      </c>
      <c r="H7">
        <v>18</v>
      </c>
      <c r="I7">
        <v>9</v>
      </c>
      <c r="J7">
        <v>15</v>
      </c>
      <c r="K7">
        <v>19</v>
      </c>
      <c r="L7">
        <v>31</v>
      </c>
    </row>
    <row r="8" spans="1:12" ht="15">
      <c r="A8" t="s">
        <v>45</v>
      </c>
      <c r="B8">
        <v>28</v>
      </c>
      <c r="C8">
        <v>33</v>
      </c>
      <c r="D8">
        <v>57</v>
      </c>
      <c r="E8">
        <v>227</v>
      </c>
      <c r="F8">
        <v>28</v>
      </c>
      <c r="G8">
        <v>124</v>
      </c>
      <c r="H8">
        <v>56</v>
      </c>
      <c r="I8">
        <v>20</v>
      </c>
      <c r="J8">
        <v>30</v>
      </c>
      <c r="K8">
        <v>25</v>
      </c>
      <c r="L8">
        <v>43</v>
      </c>
    </row>
    <row r="9" spans="1:12" ht="15">
      <c r="A9" t="s">
        <v>63</v>
      </c>
      <c r="B9">
        <f aca="true" t="shared" si="0" ref="B9:L9">B5/B6-B7/B8</f>
        <v>0.06318681318681318</v>
      </c>
      <c r="C9">
        <f t="shared" si="0"/>
        <v>0.16221033868092694</v>
      </c>
      <c r="D9">
        <f t="shared" si="0"/>
        <v>0.10526315789473684</v>
      </c>
      <c r="E9">
        <f t="shared" si="0"/>
        <v>0.1812718012544421</v>
      </c>
      <c r="F9">
        <f t="shared" si="0"/>
        <v>0.13857142857142857</v>
      </c>
      <c r="G9">
        <f t="shared" si="0"/>
        <v>0.25241935483870964</v>
      </c>
      <c r="H9">
        <f t="shared" si="0"/>
        <v>0.4027093596059113</v>
      </c>
      <c r="I9">
        <f t="shared" si="0"/>
        <v>0.39999999999999997</v>
      </c>
      <c r="J9">
        <f t="shared" si="0"/>
        <v>0.4</v>
      </c>
      <c r="K9">
        <f t="shared" si="0"/>
        <v>0.040000000000000036</v>
      </c>
      <c r="L9">
        <f t="shared" si="0"/>
        <v>0.06976744186046513</v>
      </c>
    </row>
    <row r="11" spans="1:12" ht="15">
      <c r="A11" s="2" t="s">
        <v>1</v>
      </c>
      <c r="B11" s="2">
        <f>1/B2</f>
        <v>0.06329113924050632</v>
      </c>
      <c r="C11" s="2">
        <f>1/C2</f>
        <v>0.16129032258064516</v>
      </c>
      <c r="D11" s="2">
        <f aca="true" t="shared" si="1" ref="D11:L11">1/D2</f>
        <v>0.10526315789473684</v>
      </c>
      <c r="E11" s="2">
        <f t="shared" si="1"/>
        <v>0.2857142857142857</v>
      </c>
      <c r="F11" s="2">
        <f t="shared" si="1"/>
        <v>0.1388888888888889</v>
      </c>
      <c r="G11" s="2">
        <f t="shared" si="1"/>
        <v>0.25</v>
      </c>
      <c r="H11" s="2">
        <f t="shared" si="1"/>
        <v>0.4</v>
      </c>
      <c r="I11" s="2">
        <f t="shared" si="1"/>
        <v>0.4</v>
      </c>
      <c r="J11" s="2">
        <f t="shared" si="1"/>
        <v>0.4</v>
      </c>
      <c r="K11" s="2">
        <f t="shared" si="1"/>
        <v>0.04</v>
      </c>
      <c r="L11" s="2">
        <f t="shared" si="1"/>
        <v>0.06993006993006992</v>
      </c>
    </row>
    <row r="12" spans="1:12" ht="15">
      <c r="A12" s="2" t="s">
        <v>26</v>
      </c>
      <c r="B12" s="2">
        <f>ABS(1/B3-B11)/1.96</f>
        <v>0.09525962283647636</v>
      </c>
      <c r="C12" s="2">
        <f>ABS(1/C3-C11)/1.96</f>
        <v>0.12179065174456881</v>
      </c>
      <c r="D12" s="2">
        <f aca="true" t="shared" si="2" ref="D12:L12">ABS(1/D3-D11)/1.96</f>
        <v>0.09206690194874942</v>
      </c>
      <c r="E12" s="2">
        <f t="shared" si="2"/>
        <v>0.039480077745383854</v>
      </c>
      <c r="F12" s="2">
        <f t="shared" si="2"/>
        <v>0.08374561945990518</v>
      </c>
      <c r="G12" s="2">
        <f t="shared" si="2"/>
        <v>0.06041890440386682</v>
      </c>
      <c r="H12" s="2">
        <f t="shared" si="2"/>
        <v>0.08542952064546751</v>
      </c>
      <c r="I12" s="2">
        <f t="shared" si="2"/>
        <v>0.1369495166487648</v>
      </c>
      <c r="J12" s="2">
        <f t="shared" si="2"/>
        <v>0.10596546310832028</v>
      </c>
      <c r="K12" s="2">
        <f t="shared" si="2"/>
        <v>0.11748483177054603</v>
      </c>
      <c r="L12" s="2">
        <f t="shared" si="2"/>
        <v>0.09187241330098474</v>
      </c>
    </row>
    <row r="13" spans="1:12" ht="15">
      <c r="A13" s="2" t="s">
        <v>3</v>
      </c>
      <c r="B13" s="2">
        <f>IF(UPPER(B4)="INF",0,1/B4)</f>
        <v>0</v>
      </c>
      <c r="C13" s="2">
        <f aca="true" t="shared" si="3" ref="C13:L13">IF(UPPER(C4)="INF",0,1/C4)</f>
        <v>0</v>
      </c>
      <c r="D13" s="2">
        <f t="shared" si="3"/>
        <v>0</v>
      </c>
      <c r="E13" s="2">
        <f t="shared" si="3"/>
        <v>0</v>
      </c>
      <c r="F13" s="2">
        <f t="shared" si="3"/>
        <v>0</v>
      </c>
      <c r="G13" s="2">
        <f t="shared" si="3"/>
        <v>0</v>
      </c>
      <c r="H13" s="2">
        <f t="shared" si="3"/>
        <v>0</v>
      </c>
      <c r="I13" s="2">
        <f t="shared" si="3"/>
        <v>0</v>
      </c>
      <c r="J13" s="2">
        <f t="shared" si="3"/>
        <v>0</v>
      </c>
      <c r="K13" s="2">
        <f t="shared" si="3"/>
        <v>0</v>
      </c>
      <c r="L13" s="2">
        <f t="shared" si="3"/>
        <v>0</v>
      </c>
    </row>
    <row r="14" spans="1:12" ht="15">
      <c r="A14" s="2" t="s">
        <v>28</v>
      </c>
      <c r="B14" s="2">
        <f>MAX(0,B11-B13)</f>
        <v>0.06329113924050632</v>
      </c>
      <c r="C14" s="2">
        <f>MAX(0,C11-C13)</f>
        <v>0.16129032258064516</v>
      </c>
      <c r="D14" s="2">
        <f aca="true" t="shared" si="4" ref="D14:L14">MAX(0,D11-D13)</f>
        <v>0.10526315789473684</v>
      </c>
      <c r="E14" s="2">
        <f t="shared" si="4"/>
        <v>0.2857142857142857</v>
      </c>
      <c r="F14" s="2">
        <f t="shared" si="4"/>
        <v>0.1388888888888889</v>
      </c>
      <c r="G14" s="2">
        <f t="shared" si="4"/>
        <v>0.25</v>
      </c>
      <c r="H14" s="2">
        <f t="shared" si="4"/>
        <v>0.4</v>
      </c>
      <c r="I14" s="2">
        <f t="shared" si="4"/>
        <v>0.4</v>
      </c>
      <c r="J14" s="2">
        <f t="shared" si="4"/>
        <v>0.4</v>
      </c>
      <c r="K14" s="2">
        <f t="shared" si="4"/>
        <v>0.04</v>
      </c>
      <c r="L14" s="2">
        <f t="shared" si="4"/>
        <v>0.06993006993006992</v>
      </c>
    </row>
    <row r="15" spans="1:12" ht="15">
      <c r="A15" s="2" t="s">
        <v>29</v>
      </c>
      <c r="B15" s="2">
        <f>(B11-B13)+B12*NORMDIST((B11-B13)/B12,0,1,FALSE)-(B11-B13)*NORMDIST((B13-B11)/B12,0,1,TRUE)</f>
        <v>0.07774117315599555</v>
      </c>
      <c r="C15" s="2">
        <f>(C11-C13)+C12*NORMDIST((C11-C13)/C12,0,1,FALSE)-(C11-C13)*NORMDIST((C13-C11)/C12,0,1,TRUE)</f>
        <v>0.1665545432690576</v>
      </c>
      <c r="D15" s="2">
        <f aca="true" t="shared" si="5" ref="D15:L15">(D11-D13)+D12*NORMDIST((D11-D13)/D12,0,1,FALSE)-(D11-D13)*NORMDIST((D13-D11)/D12,0,1,TRUE)</f>
        <v>0.11105802765415945</v>
      </c>
      <c r="E15" s="2">
        <f t="shared" si="5"/>
        <v>0.2857142857142869</v>
      </c>
      <c r="F15" s="2">
        <f t="shared" si="5"/>
        <v>0.14058239628459276</v>
      </c>
      <c r="G15" s="2">
        <f t="shared" si="5"/>
        <v>0.25000023237156</v>
      </c>
      <c r="H15" s="2">
        <f t="shared" si="5"/>
        <v>0.4000000239365661</v>
      </c>
      <c r="I15" s="2">
        <f t="shared" si="5"/>
        <v>0.4000690437038845</v>
      </c>
      <c r="J15" s="2">
        <f t="shared" si="5"/>
        <v>0.4000020072050486</v>
      </c>
      <c r="K15" s="2">
        <f t="shared" si="5"/>
        <v>0.06956027942981019</v>
      </c>
      <c r="L15" s="2">
        <f t="shared" si="5"/>
        <v>0.081749945548826</v>
      </c>
    </row>
    <row r="16" spans="1:20" ht="15">
      <c r="A16" s="2" t="s">
        <v>27</v>
      </c>
      <c r="B16" s="2">
        <f>B15-B14</f>
        <v>0.014450033915489227</v>
      </c>
      <c r="C16" s="2">
        <f>C15-C14</f>
        <v>0.005264220688412452</v>
      </c>
      <c r="D16" s="2">
        <f aca="true" t="shared" si="6" ref="D16:L16">D15-D14</f>
        <v>0.005794869759422616</v>
      </c>
      <c r="E16" s="2">
        <f t="shared" si="6"/>
        <v>1.2212453270876722E-15</v>
      </c>
      <c r="F16" s="2">
        <f t="shared" si="6"/>
        <v>0.0016935073957038693</v>
      </c>
      <c r="G16" s="2">
        <f t="shared" si="6"/>
        <v>2.3237155999389358E-07</v>
      </c>
      <c r="H16" s="2">
        <f t="shared" si="6"/>
        <v>2.3936566062587872E-08</v>
      </c>
      <c r="I16" s="2">
        <f t="shared" si="6"/>
        <v>6.90437038844971E-05</v>
      </c>
      <c r="J16" s="2">
        <f t="shared" si="6"/>
        <v>2.0072050485597792E-06</v>
      </c>
      <c r="K16" s="2">
        <f t="shared" si="6"/>
        <v>0.02956027942981019</v>
      </c>
      <c r="L16" s="2">
        <f t="shared" si="6"/>
        <v>0.011819875618756082</v>
      </c>
      <c r="T16" s="1"/>
    </row>
    <row r="17" ht="15">
      <c r="T17" s="1"/>
    </row>
    <row r="18" spans="1:20" ht="15">
      <c r="A18" s="4" t="s">
        <v>11</v>
      </c>
      <c r="B18" s="3"/>
      <c r="C18" s="3"/>
      <c r="D18" s="3"/>
      <c r="E18" s="3"/>
      <c r="F18" s="3"/>
      <c r="G18" s="3"/>
      <c r="H18" s="3"/>
      <c r="I18" s="3"/>
      <c r="J18" s="3"/>
      <c r="K18" s="3"/>
      <c r="L18" s="3"/>
      <c r="T18" s="1"/>
    </row>
    <row r="19" spans="1:20" ht="15">
      <c r="A19" s="3" t="s">
        <v>30</v>
      </c>
      <c r="B19" s="5">
        <f>1/(B16)</f>
        <v>69.203989820957</v>
      </c>
      <c r="C19" s="5">
        <f>1/(C16)</f>
        <v>189.96164089419534</v>
      </c>
      <c r="D19" s="5">
        <f aca="true" t="shared" si="7" ref="D19:L19">1/(D16)</f>
        <v>172.566432295389</v>
      </c>
      <c r="E19" s="5">
        <f t="shared" si="7"/>
        <v>818836295885544.8</v>
      </c>
      <c r="F19" s="5">
        <f t="shared" si="7"/>
        <v>590.4904829685564</v>
      </c>
      <c r="G19" s="5">
        <f t="shared" si="7"/>
        <v>4303452.625726998</v>
      </c>
      <c r="H19" s="5">
        <f t="shared" si="7"/>
        <v>41777086.87976634</v>
      </c>
      <c r="I19" s="5">
        <f t="shared" si="7"/>
        <v>14483.579873885323</v>
      </c>
      <c r="J19" s="5">
        <f t="shared" si="7"/>
        <v>498205.2036574567</v>
      </c>
      <c r="K19" s="5">
        <f t="shared" si="7"/>
        <v>33.82917953717128</v>
      </c>
      <c r="L19" s="5">
        <f t="shared" si="7"/>
        <v>84.60325914201452</v>
      </c>
      <c r="T19" s="1"/>
    </row>
    <row r="20" spans="1:20" ht="15">
      <c r="A20" s="3" t="s">
        <v>31</v>
      </c>
      <c r="B20" s="6">
        <f>IF(B11&gt;B13,B16/B14,B16/B13)</f>
        <v>0.22831053586472982</v>
      </c>
      <c r="C20" s="6">
        <f>IF(C11&gt;C13,C16/C14,C16/C13)</f>
        <v>0.03263816826815721</v>
      </c>
      <c r="D20" s="6">
        <f aca="true" t="shared" si="8" ref="D20:L20">IF(D11&gt;D13,D16/D14,D16/D13)</f>
        <v>0.055051262714514854</v>
      </c>
      <c r="E20" s="6">
        <f t="shared" si="8"/>
        <v>4.274358644806853E-15</v>
      </c>
      <c r="F20" s="6">
        <f t="shared" si="8"/>
        <v>0.012193253249067858</v>
      </c>
      <c r="G20" s="6">
        <f t="shared" si="8"/>
        <v>9.294862399755743E-07</v>
      </c>
      <c r="H20" s="6">
        <f t="shared" si="8"/>
        <v>5.984141515646968E-08</v>
      </c>
      <c r="I20" s="6">
        <f t="shared" si="8"/>
        <v>0.00017260925971124275</v>
      </c>
      <c r="J20" s="6">
        <f t="shared" si="8"/>
        <v>5.018012621399448E-06</v>
      </c>
      <c r="K20" s="6">
        <f t="shared" si="8"/>
        <v>0.7390069857452547</v>
      </c>
      <c r="L20" s="6">
        <f t="shared" si="8"/>
        <v>0.169024221348212</v>
      </c>
      <c r="T20" s="1"/>
    </row>
    <row r="21" ht="15">
      <c r="T21" s="1"/>
    </row>
    <row r="22" spans="1:20" ht="15">
      <c r="A22" t="s">
        <v>37</v>
      </c>
      <c r="B22" t="str">
        <f>IF(B19&lt;=1000,ROUND(B19,1),"&gt;1000")&amp;" , %"&amp;ROUND(B20,3)*100&amp;""</f>
        <v>69.2 , %22.8</v>
      </c>
      <c r="C22" t="str">
        <f aca="true" t="shared" si="9" ref="C22:L22">IF(C19&lt;=1000,ROUND(C19,1),"&gt;1000")&amp;" , %"&amp;ROUND(C20,3)*100&amp;""</f>
        <v>190 , %3.3</v>
      </c>
      <c r="D22" t="str">
        <f t="shared" si="9"/>
        <v>172.6 , %5.5</v>
      </c>
      <c r="E22" t="str">
        <f t="shared" si="9"/>
        <v>&gt;1000 , %0</v>
      </c>
      <c r="F22" t="str">
        <f t="shared" si="9"/>
        <v>590.5 , %1.2</v>
      </c>
      <c r="G22" t="str">
        <f t="shared" si="9"/>
        <v>&gt;1000 , %0</v>
      </c>
      <c r="H22" t="str">
        <f t="shared" si="9"/>
        <v>&gt;1000 , %0</v>
      </c>
      <c r="I22" t="str">
        <f t="shared" si="9"/>
        <v>&gt;1000 , %0</v>
      </c>
      <c r="J22" t="str">
        <f t="shared" si="9"/>
        <v>&gt;1000 , %0</v>
      </c>
      <c r="K22" t="str">
        <f t="shared" si="9"/>
        <v>33.8 , %73.9</v>
      </c>
      <c r="L22" t="str">
        <f t="shared" si="9"/>
        <v>84.6 , %16.9</v>
      </c>
      <c r="T22" s="1"/>
    </row>
    <row r="23" ht="15">
      <c r="T23" s="1"/>
    </row>
    <row r="24" ht="15">
      <c r="T24" s="1"/>
    </row>
    <row r="25" ht="15">
      <c r="T25" s="1"/>
    </row>
    <row r="26" ht="15">
      <c r="T26" s="1"/>
    </row>
    <row r="28" spans="2:12" ht="15">
      <c r="B28" s="1" t="s">
        <v>14</v>
      </c>
      <c r="C28" s="1" t="s">
        <v>15</v>
      </c>
      <c r="D28" s="1" t="s">
        <v>16</v>
      </c>
      <c r="E28" s="1" t="s">
        <v>17</v>
      </c>
      <c r="F28" s="1" t="s">
        <v>18</v>
      </c>
      <c r="G28" s="1" t="s">
        <v>19</v>
      </c>
      <c r="H28" s="1" t="s">
        <v>20</v>
      </c>
      <c r="I28" s="1" t="s">
        <v>21</v>
      </c>
      <c r="J28" s="1" t="s">
        <v>22</v>
      </c>
      <c r="K28" s="1" t="s">
        <v>23</v>
      </c>
      <c r="L28" s="1" t="s">
        <v>24</v>
      </c>
    </row>
    <row r="29" spans="1:12" ht="15">
      <c r="A29" t="s">
        <v>38</v>
      </c>
      <c r="B29">
        <v>15.8</v>
      </c>
      <c r="C29">
        <v>6.2</v>
      </c>
      <c r="D29">
        <v>9.5</v>
      </c>
      <c r="E29">
        <v>3.5</v>
      </c>
      <c r="F29">
        <v>7.2</v>
      </c>
      <c r="G29">
        <v>4</v>
      </c>
      <c r="H29">
        <v>2.5</v>
      </c>
      <c r="I29">
        <v>2.5</v>
      </c>
      <c r="J29">
        <v>2.5</v>
      </c>
      <c r="K29">
        <v>25</v>
      </c>
      <c r="L29">
        <v>14.3</v>
      </c>
    </row>
    <row r="30" spans="1:12" ht="15">
      <c r="A30" t="s">
        <v>39</v>
      </c>
      <c r="B30">
        <v>4</v>
      </c>
      <c r="C30">
        <v>2.5</v>
      </c>
      <c r="D30">
        <v>3.5</v>
      </c>
      <c r="E30">
        <v>4.8</v>
      </c>
      <c r="F30">
        <v>3.3</v>
      </c>
      <c r="G30">
        <v>7.6</v>
      </c>
      <c r="H30">
        <v>4.3</v>
      </c>
      <c r="I30">
        <v>7.6</v>
      </c>
      <c r="J30">
        <v>5.2</v>
      </c>
      <c r="K30">
        <v>3.7</v>
      </c>
      <c r="L30">
        <v>4</v>
      </c>
    </row>
    <row r="31" spans="1:14" ht="15">
      <c r="A31" t="s">
        <v>2</v>
      </c>
      <c r="B31">
        <f>B29</f>
        <v>15.8</v>
      </c>
      <c r="C31">
        <f aca="true" t="shared" si="10" ref="C31:L31">C29</f>
        <v>6.2</v>
      </c>
      <c r="D31">
        <f t="shared" si="10"/>
        <v>9.5</v>
      </c>
      <c r="E31">
        <f t="shared" si="10"/>
        <v>3.5</v>
      </c>
      <c r="F31">
        <f t="shared" si="10"/>
        <v>7.2</v>
      </c>
      <c r="G31">
        <f t="shared" si="10"/>
        <v>4</v>
      </c>
      <c r="H31">
        <f t="shared" si="10"/>
        <v>2.5</v>
      </c>
      <c r="I31">
        <f t="shared" si="10"/>
        <v>2.5</v>
      </c>
      <c r="J31">
        <f t="shared" si="10"/>
        <v>2.5</v>
      </c>
      <c r="K31">
        <f t="shared" si="10"/>
        <v>25</v>
      </c>
      <c r="L31">
        <f t="shared" si="10"/>
        <v>14.3</v>
      </c>
      <c r="N31" t="s">
        <v>13</v>
      </c>
    </row>
    <row r="33" spans="1:12" ht="15">
      <c r="A33" s="2" t="s">
        <v>1</v>
      </c>
      <c r="B33" s="2">
        <f>1/B29</f>
        <v>0.06329113924050632</v>
      </c>
      <c r="C33" s="2">
        <f>1/C29</f>
        <v>0.16129032258064516</v>
      </c>
      <c r="D33" s="2">
        <f aca="true" t="shared" si="11" ref="D33:L33">1/D29</f>
        <v>0.10526315789473684</v>
      </c>
      <c r="E33" s="2">
        <f t="shared" si="11"/>
        <v>0.2857142857142857</v>
      </c>
      <c r="F33" s="2">
        <f t="shared" si="11"/>
        <v>0.1388888888888889</v>
      </c>
      <c r="G33" s="2">
        <f t="shared" si="11"/>
        <v>0.25</v>
      </c>
      <c r="H33" s="2">
        <f t="shared" si="11"/>
        <v>0.4</v>
      </c>
      <c r="I33" s="2">
        <f t="shared" si="11"/>
        <v>0.4</v>
      </c>
      <c r="J33" s="2">
        <f t="shared" si="11"/>
        <v>0.4</v>
      </c>
      <c r="K33" s="2">
        <f t="shared" si="11"/>
        <v>0.04</v>
      </c>
      <c r="L33" s="2">
        <f t="shared" si="11"/>
        <v>0.06993006993006992</v>
      </c>
    </row>
    <row r="34" spans="1:12" ht="15">
      <c r="A34" s="2" t="s">
        <v>26</v>
      </c>
      <c r="B34" s="2">
        <f aca="true" t="shared" si="12" ref="B34:L34">ABS(1/B30-B33)/1.96</f>
        <v>0.09525962283647636</v>
      </c>
      <c r="C34" s="2">
        <f t="shared" si="12"/>
        <v>0.12179065174456881</v>
      </c>
      <c r="D34" s="2">
        <f t="shared" si="12"/>
        <v>0.09206690194874942</v>
      </c>
      <c r="E34" s="2">
        <f t="shared" si="12"/>
        <v>0.039480077745383854</v>
      </c>
      <c r="F34" s="2">
        <f t="shared" si="12"/>
        <v>0.08374561945990518</v>
      </c>
      <c r="G34" s="2">
        <f t="shared" si="12"/>
        <v>0.06041890440386682</v>
      </c>
      <c r="H34" s="2">
        <f t="shared" si="12"/>
        <v>0.08542952064546751</v>
      </c>
      <c r="I34" s="2">
        <f t="shared" si="12"/>
        <v>0.1369495166487648</v>
      </c>
      <c r="J34" s="2">
        <f t="shared" si="12"/>
        <v>0.10596546310832028</v>
      </c>
      <c r="K34" s="2">
        <f t="shared" si="12"/>
        <v>0.11748483177054603</v>
      </c>
      <c r="L34" s="2">
        <f t="shared" si="12"/>
        <v>0.09187241330098474</v>
      </c>
    </row>
    <row r="35" spans="1:12" ht="15">
      <c r="A35" s="2" t="s">
        <v>3</v>
      </c>
      <c r="B35" s="2">
        <f>IF(UPPER(B31)="INF",0,1/B31)</f>
        <v>0.06329113924050632</v>
      </c>
      <c r="C35" s="2">
        <f aca="true" t="shared" si="13" ref="C35:L35">IF(UPPER(C31)="INF",0,1/C31)</f>
        <v>0.16129032258064516</v>
      </c>
      <c r="D35" s="2">
        <f t="shared" si="13"/>
        <v>0.10526315789473684</v>
      </c>
      <c r="E35" s="2">
        <f t="shared" si="13"/>
        <v>0.2857142857142857</v>
      </c>
      <c r="F35" s="2">
        <f t="shared" si="13"/>
        <v>0.1388888888888889</v>
      </c>
      <c r="G35" s="2">
        <f t="shared" si="13"/>
        <v>0.25</v>
      </c>
      <c r="H35" s="2">
        <f t="shared" si="13"/>
        <v>0.4</v>
      </c>
      <c r="I35" s="2">
        <f t="shared" si="13"/>
        <v>0.4</v>
      </c>
      <c r="J35" s="2">
        <f t="shared" si="13"/>
        <v>0.4</v>
      </c>
      <c r="K35" s="2">
        <f t="shared" si="13"/>
        <v>0.04</v>
      </c>
      <c r="L35" s="2">
        <f t="shared" si="13"/>
        <v>0.06993006993006992</v>
      </c>
    </row>
    <row r="36" spans="1:12" ht="15">
      <c r="A36" s="2" t="s">
        <v>28</v>
      </c>
      <c r="B36" s="2">
        <f aca="true" t="shared" si="14" ref="B36:L36">MAX(0,B33-B35)</f>
        <v>0</v>
      </c>
      <c r="C36" s="2">
        <f t="shared" si="14"/>
        <v>0</v>
      </c>
      <c r="D36" s="2">
        <f t="shared" si="14"/>
        <v>0</v>
      </c>
      <c r="E36" s="2">
        <f t="shared" si="14"/>
        <v>0</v>
      </c>
      <c r="F36" s="2">
        <f t="shared" si="14"/>
        <v>0</v>
      </c>
      <c r="G36" s="2">
        <f t="shared" si="14"/>
        <v>0</v>
      </c>
      <c r="H36" s="2">
        <f t="shared" si="14"/>
        <v>0</v>
      </c>
      <c r="I36" s="2">
        <f t="shared" si="14"/>
        <v>0</v>
      </c>
      <c r="J36" s="2">
        <f t="shared" si="14"/>
        <v>0</v>
      </c>
      <c r="K36" s="2">
        <f t="shared" si="14"/>
        <v>0</v>
      </c>
      <c r="L36" s="2">
        <f t="shared" si="14"/>
        <v>0</v>
      </c>
    </row>
    <row r="37" spans="1:12" ht="15">
      <c r="A37" s="2" t="s">
        <v>29</v>
      </c>
      <c r="B37" s="2">
        <f>(B33-B35)+B34*NORMDIST((B33-B35)/B34,0,1,FALSE)-(B33-B35)*NORMDIST((B35-B33)/B34,0,1,TRUE)</f>
        <v>0.038003091164564275</v>
      </c>
      <c r="C37" s="2">
        <f>(C33-C35)+C34*NORMDIST((C33-C35)/C34,0,1,FALSE)-(C33-C35)*NORMDIST((C35-C33)/C34,0,1,TRUE)</f>
        <v>0.048587440338555006</v>
      </c>
      <c r="D37" s="2">
        <f aca="true" t="shared" si="15" ref="D37:L37">(D33-D35)+D34*NORMDIST((D33-D35)/D34,0,1,FALSE)-(D33-D35)*NORMDIST((D35-D33)/D34,0,1,TRUE)</f>
        <v>0.0367293798129292</v>
      </c>
      <c r="E37" s="2">
        <f t="shared" si="15"/>
        <v>0.01575027224616929</v>
      </c>
      <c r="F37" s="2">
        <f t="shared" si="15"/>
        <v>0.03340966840096517</v>
      </c>
      <c r="G37" s="2">
        <f t="shared" si="15"/>
        <v>0.024103655502234794</v>
      </c>
      <c r="H37" s="2">
        <f t="shared" si="15"/>
        <v>0.03408144777990408</v>
      </c>
      <c r="I37" s="2">
        <f t="shared" si="15"/>
        <v>0.05463495247173221</v>
      </c>
      <c r="J37" s="2">
        <f t="shared" si="15"/>
        <v>0.042274103496227185</v>
      </c>
      <c r="K37" s="2">
        <f t="shared" si="15"/>
        <v>0.04686966669912032</v>
      </c>
      <c r="L37" s="2">
        <f t="shared" si="15"/>
        <v>0.03665179006827777</v>
      </c>
    </row>
    <row r="38" spans="1:12" ht="15">
      <c r="A38" s="2" t="s">
        <v>27</v>
      </c>
      <c r="B38" s="2">
        <f aca="true" t="shared" si="16" ref="B38:L38">B37-B36</f>
        <v>0.038003091164564275</v>
      </c>
      <c r="C38" s="2">
        <f t="shared" si="16"/>
        <v>0.048587440338555006</v>
      </c>
      <c r="D38" s="2">
        <f t="shared" si="16"/>
        <v>0.0367293798129292</v>
      </c>
      <c r="E38" s="2">
        <f t="shared" si="16"/>
        <v>0.01575027224616929</v>
      </c>
      <c r="F38" s="2">
        <f t="shared" si="16"/>
        <v>0.03340966840096517</v>
      </c>
      <c r="G38" s="2">
        <f t="shared" si="16"/>
        <v>0.024103655502234794</v>
      </c>
      <c r="H38" s="2">
        <f t="shared" si="16"/>
        <v>0.03408144777990408</v>
      </c>
      <c r="I38" s="2">
        <f t="shared" si="16"/>
        <v>0.05463495247173221</v>
      </c>
      <c r="J38" s="2">
        <f t="shared" si="16"/>
        <v>0.042274103496227185</v>
      </c>
      <c r="K38" s="2">
        <f t="shared" si="16"/>
        <v>0.04686966669912032</v>
      </c>
      <c r="L38" s="2">
        <f t="shared" si="16"/>
        <v>0.03665179006827777</v>
      </c>
    </row>
    <row r="40" spans="1:12" ht="15">
      <c r="A40" s="4" t="s">
        <v>11</v>
      </c>
      <c r="B40" s="3"/>
      <c r="C40" s="3"/>
      <c r="D40" s="3"/>
      <c r="E40" s="3"/>
      <c r="F40" s="3"/>
      <c r="G40" s="3"/>
      <c r="H40" s="3"/>
      <c r="I40" s="3"/>
      <c r="J40" s="3"/>
      <c r="K40" s="3"/>
      <c r="L40" s="3"/>
    </row>
    <row r="41" spans="1:12" ht="15">
      <c r="A41" s="3" t="s">
        <v>30</v>
      </c>
      <c r="B41" s="5">
        <f>1/(B38)</f>
        <v>26.31364895212638</v>
      </c>
      <c r="C41" s="5">
        <f>1/(C38)</f>
        <v>20.581450536024267</v>
      </c>
      <c r="D41" s="5">
        <f aca="true" t="shared" si="17" ref="D41:L41">1/(D38)</f>
        <v>27.226160776283717</v>
      </c>
      <c r="E41" s="5">
        <f t="shared" si="17"/>
        <v>63.49096602080739</v>
      </c>
      <c r="F41" s="5">
        <f t="shared" si="17"/>
        <v>29.93145540980919</v>
      </c>
      <c r="G41" s="5">
        <f t="shared" si="17"/>
        <v>41.48748308767042</v>
      </c>
      <c r="H41" s="5">
        <f t="shared" si="17"/>
        <v>29.34147652581954</v>
      </c>
      <c r="I41" s="5">
        <f t="shared" si="17"/>
        <v>18.303301362207534</v>
      </c>
      <c r="J41" s="5">
        <f t="shared" si="17"/>
        <v>23.65514386577699</v>
      </c>
      <c r="K41" s="5">
        <f t="shared" si="17"/>
        <v>21.3357608540188</v>
      </c>
      <c r="L41" s="5">
        <f t="shared" si="17"/>
        <v>27.283797002468997</v>
      </c>
    </row>
    <row r="42" spans="1:12" ht="15">
      <c r="A42" s="3" t="s">
        <v>31</v>
      </c>
      <c r="B42" s="6">
        <f>IF(B33&gt;B35,B38/B36,B38/B35)</f>
        <v>0.6004488404001156</v>
      </c>
      <c r="C42" s="6">
        <f>IF(C33&gt;C35,C38/C36,C38/C35)</f>
        <v>0.30124213009904105</v>
      </c>
      <c r="D42" s="6">
        <f>IF(D33&gt;D35,D38/D36,D38/D35)</f>
        <v>0.34892910822282747</v>
      </c>
      <c r="E42" s="6">
        <f aca="true" t="shared" si="18" ref="E42:L42">IF(E33&gt;E35,E38/E36,E38/E35)</f>
        <v>0.05512595286159251</v>
      </c>
      <c r="F42" s="6">
        <f t="shared" si="18"/>
        <v>0.2405496124869492</v>
      </c>
      <c r="G42" s="6">
        <f t="shared" si="18"/>
        <v>0.09641462200893917</v>
      </c>
      <c r="H42" s="6">
        <f t="shared" si="18"/>
        <v>0.0852036194497602</v>
      </c>
      <c r="I42" s="6">
        <f t="shared" si="18"/>
        <v>0.1365873811793305</v>
      </c>
      <c r="J42" s="6">
        <f t="shared" si="18"/>
        <v>0.10568525874056796</v>
      </c>
      <c r="K42" s="6">
        <f t="shared" si="18"/>
        <v>1.1717416674780081</v>
      </c>
      <c r="L42" s="6">
        <f t="shared" si="18"/>
        <v>0.5241205979763721</v>
      </c>
    </row>
    <row r="44" spans="1:12" ht="15">
      <c r="A44" t="s">
        <v>37</v>
      </c>
      <c r="B44" t="str">
        <f>IF(B41&lt;=1000,ROUND(B41,1),"&gt;1000")&amp;" , %"&amp;ROUND(B42,3)*100&amp;""</f>
        <v>26.3 , %60</v>
      </c>
      <c r="C44" t="str">
        <f aca="true" t="shared" si="19" ref="C44:L44">IF(C41&lt;=1000,ROUND(C41,1),"&gt;1000")&amp;" , %"&amp;ROUND(C42,3)*100&amp;""</f>
        <v>20.6 , %30.1</v>
      </c>
      <c r="D44" t="str">
        <f t="shared" si="19"/>
        <v>27.2 , %34.9</v>
      </c>
      <c r="E44" t="str">
        <f t="shared" si="19"/>
        <v>63.5 , %5.5</v>
      </c>
      <c r="F44" t="str">
        <f t="shared" si="19"/>
        <v>29.9 , %24.1</v>
      </c>
      <c r="G44" t="str">
        <f t="shared" si="19"/>
        <v>41.5 , %9.6</v>
      </c>
      <c r="H44" t="str">
        <f t="shared" si="19"/>
        <v>29.3 , %8.5</v>
      </c>
      <c r="I44" t="str">
        <f t="shared" si="19"/>
        <v>18.3 , %13.7</v>
      </c>
      <c r="J44" t="str">
        <f t="shared" si="19"/>
        <v>23.7 , %10.6</v>
      </c>
      <c r="K44" t="str">
        <f t="shared" si="19"/>
        <v>21.3 , %117.2</v>
      </c>
      <c r="L44" t="str">
        <f t="shared" si="19"/>
        <v>27.3 , %52.4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2011-12-23T07:01:51Z</dcterms:modified>
  <cp:category/>
  <cp:version/>
  <cp:contentType/>
  <cp:contentStatus/>
</cp:coreProperties>
</file>