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slicers/slicer1.xml" ContentType="application/vnd.ms-excel.slicer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4"/>
  <workbookPr hidePivotFieldList="1"/>
  <mc:AlternateContent xmlns:mc="http://schemas.openxmlformats.org/markup-compatibility/2006">
    <mc:Choice Requires="x15">
      <x15ac:absPath xmlns:x15ac="http://schemas.microsoft.com/office/spreadsheetml/2010/11/ac" url="/Users/asakai/Documents/Gartner/CONTENT/2023 Q2/2023 Q2 SEO/06 JP-Capterra-Timekeeping for start-ups/"/>
    </mc:Choice>
  </mc:AlternateContent>
  <xr:revisionPtr revIDLastSave="0" documentId="13_ncr:1_{E863DD2F-3819-DB47-94DF-A37A26B6269D}" xr6:coauthVersionLast="47" xr6:coauthVersionMax="47" xr10:uidLastSave="{00000000-0000-0000-0000-000000000000}"/>
  <bookViews>
    <workbookView xWindow="-32460" yWindow="-1340" windowWidth="26860" windowHeight="17460" tabRatio="763" xr2:uid="{00000000-000D-0000-FFFF-FFFF00000000}"/>
  </bookViews>
  <sheets>
    <sheet name="基本情報" sheetId="1" r:id="rId1"/>
    <sheet name="スケジュール" sheetId="2" r:id="rId2"/>
    <sheet name="休暇管理" sheetId="10" r:id="rId3"/>
    <sheet name="【レポート】月別　労働時間・日数" sheetId="11" r:id="rId4"/>
    <sheet name="【レポート】項目別　労働時間" sheetId="7" r:id="rId5"/>
    <sheet name="【レポート】項目別 各月給与" sheetId="8" r:id="rId6"/>
    <sheet name="祝日・休日" sheetId="12" r:id="rId7"/>
  </sheets>
  <definedNames>
    <definedName name="_xlnm._FilterDatabase" localSheetId="1" hidden="1">スケジュール!$A$7:$P$104</definedName>
    <definedName name="Datenschnitt_Monat">#N/A</definedName>
    <definedName name="Datenschnitt_Projekt1">#N/A</definedName>
    <definedName name="_xlnm.Print_Area" localSheetId="3">'【レポート】月別　労働時間・日数'!$A$1:$N$27</definedName>
    <definedName name="_xlnm.Print_Area" localSheetId="5">'【レポート】項目別 各月給与'!$A$1:$N$40</definedName>
    <definedName name="_xlnm.Print_Area" localSheetId="4">'【レポート】項目別　労働時間'!$A$1:$N$41</definedName>
    <definedName name="_xlnm.Print_Area" localSheetId="1">スケジュール!$A$1:$O$110</definedName>
    <definedName name="_xlnm.Print_Area" localSheetId="2">休暇管理!$A$1:$I$57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8"/>
        <x14:slicerCache r:id="rId9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8" i="11" l="1"/>
  <c r="E2" i="10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93" i="2"/>
  <c r="S94" i="2"/>
  <c r="S95" i="2"/>
  <c r="S96" i="2"/>
  <c r="S97" i="2"/>
  <c r="S98" i="2"/>
  <c r="S99" i="2"/>
  <c r="S100" i="2"/>
  <c r="S101" i="2"/>
  <c r="S102" i="2"/>
  <c r="S103" i="2"/>
  <c r="I9" i="2" a="1"/>
  <c r="I9" i="2" s="1"/>
  <c r="I8" i="2" a="1"/>
  <c r="I8" i="2" s="1"/>
  <c r="I10" i="2" a="1"/>
  <c r="I10" i="2" s="1"/>
  <c r="I11" i="2" a="1"/>
  <c r="I11" i="2" s="1"/>
  <c r="I12" i="2" a="1"/>
  <c r="I12" i="2" s="1"/>
  <c r="I13" i="2" a="1"/>
  <c r="I13" i="2" s="1"/>
  <c r="I14" i="2" a="1"/>
  <c r="I14" i="2" s="1"/>
  <c r="I15" i="2" a="1"/>
  <c r="I15" i="2" s="1"/>
  <c r="I16" i="2" a="1"/>
  <c r="I16" i="2" s="1"/>
  <c r="I17" i="2" a="1"/>
  <c r="I17" i="2" s="1"/>
  <c r="I18" i="2" a="1"/>
  <c r="I18" i="2" s="1"/>
  <c r="I19" i="2" a="1"/>
  <c r="I19" i="2" s="1"/>
  <c r="I20" i="2" a="1"/>
  <c r="I20" i="2" s="1"/>
  <c r="I21" i="2" a="1"/>
  <c r="I21" i="2" s="1"/>
  <c r="I22" i="2" a="1"/>
  <c r="I22" i="2" s="1"/>
  <c r="I23" i="2" a="1"/>
  <c r="I23" i="2" s="1"/>
  <c r="I24" i="2" a="1"/>
  <c r="I24" i="2" s="1"/>
  <c r="I25" i="2" a="1"/>
  <c r="I25" i="2" s="1"/>
  <c r="I26" i="2" a="1"/>
  <c r="I26" i="2" s="1"/>
  <c r="I27" i="2" a="1"/>
  <c r="I27" i="2" s="1"/>
  <c r="I28" i="2" a="1"/>
  <c r="I28" i="2" s="1"/>
  <c r="I29" i="2" a="1"/>
  <c r="I29" i="2" s="1"/>
  <c r="I30" i="2" a="1"/>
  <c r="I30" i="2" s="1"/>
  <c r="I31" i="2" a="1"/>
  <c r="I31" i="2" s="1"/>
  <c r="I32" i="2" a="1"/>
  <c r="I32" i="2" s="1"/>
  <c r="I33" i="2" a="1"/>
  <c r="I33" i="2" s="1"/>
  <c r="I34" i="2" a="1"/>
  <c r="I34" i="2" s="1"/>
  <c r="I35" i="2" a="1"/>
  <c r="I35" i="2" s="1"/>
  <c r="I36" i="2" a="1"/>
  <c r="I36" i="2" s="1"/>
  <c r="I37" i="2" a="1"/>
  <c r="I37" i="2" s="1"/>
  <c r="I38" i="2" a="1"/>
  <c r="I38" i="2" s="1"/>
  <c r="I39" i="2" a="1"/>
  <c r="I39" i="2" s="1"/>
  <c r="I40" i="2" a="1"/>
  <c r="I40" i="2" s="1"/>
  <c r="I41" i="2" a="1"/>
  <c r="I41" i="2" s="1"/>
  <c r="I42" i="2" a="1"/>
  <c r="I42" i="2" s="1"/>
  <c r="I43" i="2" a="1"/>
  <c r="I43" i="2" s="1"/>
  <c r="I44" i="2" a="1"/>
  <c r="I44" i="2" s="1"/>
  <c r="I45" i="2" a="1"/>
  <c r="I45" i="2" s="1"/>
  <c r="I46" i="2" a="1"/>
  <c r="I46" i="2" s="1"/>
  <c r="I47" i="2" a="1"/>
  <c r="I47" i="2" s="1"/>
  <c r="I48" i="2" a="1"/>
  <c r="I48" i="2" s="1"/>
  <c r="I49" i="2" a="1"/>
  <c r="I49" i="2" s="1"/>
  <c r="I50" i="2" a="1"/>
  <c r="I50" i="2" s="1"/>
  <c r="I51" i="2" a="1"/>
  <c r="I51" i="2" s="1"/>
  <c r="I52" i="2" a="1"/>
  <c r="I52" i="2" s="1"/>
  <c r="I53" i="2" a="1"/>
  <c r="I53" i="2" s="1"/>
  <c r="I54" i="2" a="1"/>
  <c r="I54" i="2" s="1"/>
  <c r="I55" i="2" a="1"/>
  <c r="I55" i="2" s="1"/>
  <c r="I56" i="2" a="1"/>
  <c r="I56" i="2" s="1"/>
  <c r="I57" i="2" a="1"/>
  <c r="I57" i="2" s="1"/>
  <c r="I58" i="2" a="1"/>
  <c r="I58" i="2" s="1"/>
  <c r="I59" i="2" a="1"/>
  <c r="I59" i="2" s="1"/>
  <c r="I60" i="2" a="1"/>
  <c r="I60" i="2" s="1"/>
  <c r="I61" i="2" a="1"/>
  <c r="I61" i="2" s="1"/>
  <c r="I62" i="2" a="1"/>
  <c r="I62" i="2" s="1"/>
  <c r="I63" i="2" a="1"/>
  <c r="I63" i="2" s="1"/>
  <c r="I64" i="2" a="1"/>
  <c r="I64" i="2" s="1"/>
  <c r="I65" i="2" a="1"/>
  <c r="I65" i="2" s="1"/>
  <c r="I66" i="2" a="1"/>
  <c r="I66" i="2" s="1"/>
  <c r="I67" i="2" a="1"/>
  <c r="I67" i="2" s="1"/>
  <c r="I68" i="2" a="1"/>
  <c r="I68" i="2" s="1"/>
  <c r="I69" i="2" a="1"/>
  <c r="I69" i="2" s="1"/>
  <c r="I70" i="2" a="1"/>
  <c r="I70" i="2" s="1"/>
  <c r="I71" i="2" a="1"/>
  <c r="I71" i="2" s="1"/>
  <c r="I72" i="2" a="1"/>
  <c r="I72" i="2" s="1"/>
  <c r="I73" i="2" a="1"/>
  <c r="I73" i="2" s="1"/>
  <c r="I74" i="2" a="1"/>
  <c r="I74" i="2" s="1"/>
  <c r="I75" i="2" a="1"/>
  <c r="I75" i="2" s="1"/>
  <c r="I76" i="2" a="1"/>
  <c r="I76" i="2" s="1"/>
  <c r="I77" i="2" a="1"/>
  <c r="I77" i="2" s="1"/>
  <c r="I78" i="2" a="1"/>
  <c r="I78" i="2" s="1"/>
  <c r="I79" i="2" a="1"/>
  <c r="I79" i="2" s="1"/>
  <c r="I80" i="2" a="1"/>
  <c r="I80" i="2" s="1"/>
  <c r="I81" i="2" a="1"/>
  <c r="I81" i="2" s="1"/>
  <c r="I82" i="2" a="1"/>
  <c r="I82" i="2" s="1"/>
  <c r="I83" i="2" a="1"/>
  <c r="I83" i="2" s="1"/>
  <c r="I84" i="2" a="1"/>
  <c r="I84" i="2" s="1"/>
  <c r="I85" i="2" a="1"/>
  <c r="I85" i="2" s="1"/>
  <c r="I86" i="2" a="1"/>
  <c r="I86" i="2" s="1"/>
  <c r="I87" i="2" a="1"/>
  <c r="I87" i="2" s="1"/>
  <c r="I88" i="2" a="1"/>
  <c r="I88" i="2" s="1"/>
  <c r="I89" i="2" a="1"/>
  <c r="I89" i="2" s="1"/>
  <c r="I90" i="2" a="1"/>
  <c r="I90" i="2" s="1"/>
  <c r="I91" i="2" a="1"/>
  <c r="I91" i="2" s="1"/>
  <c r="I92" i="2" a="1"/>
  <c r="I92" i="2" s="1"/>
  <c r="I93" i="2" a="1"/>
  <c r="I93" i="2" s="1"/>
  <c r="I94" i="2" a="1"/>
  <c r="I94" i="2" s="1"/>
  <c r="I95" i="2" a="1"/>
  <c r="I95" i="2" s="1"/>
  <c r="I96" i="2" a="1"/>
  <c r="I96" i="2" s="1"/>
  <c r="I97" i="2" a="1"/>
  <c r="I97" i="2" s="1"/>
  <c r="I98" i="2" a="1"/>
  <c r="I98" i="2" s="1"/>
  <c r="I99" i="2" a="1"/>
  <c r="I99" i="2" s="1"/>
  <c r="I100" i="2" a="1"/>
  <c r="I100" i="2" s="1"/>
  <c r="I101" i="2" a="1"/>
  <c r="I101" i="2" s="1"/>
  <c r="I102" i="2" a="1"/>
  <c r="I102" i="2" s="1"/>
  <c r="I103" i="2" a="1"/>
  <c r="I103" i="2" s="1"/>
  <c r="N2" i="2" l="1"/>
  <c r="M8" i="2" l="1"/>
  <c r="N8" i="2" l="1"/>
  <c r="A58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28" i="10"/>
  <c r="A27" i="10"/>
  <c r="A26" i="10"/>
  <c r="A25" i="10"/>
  <c r="A8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N3" i="2" l="1"/>
  <c r="K1" i="11" l="1"/>
  <c r="G14" i="2" l="1"/>
  <c r="M14" i="2"/>
  <c r="P14" i="2"/>
  <c r="Q14" i="2"/>
  <c r="R14" i="2"/>
  <c r="G10" i="2"/>
  <c r="M10" i="2"/>
  <c r="P10" i="2"/>
  <c r="Q10" i="2"/>
  <c r="R10" i="2"/>
  <c r="N10" i="2" l="1"/>
  <c r="O10" i="2" s="1"/>
  <c r="N14" i="2"/>
  <c r="O14" i="2" s="1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R8" i="2"/>
  <c r="R9" i="2"/>
  <c r="R11" i="2"/>
  <c r="R12" i="2"/>
  <c r="R13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103" i="2"/>
  <c r="Q9" i="2"/>
  <c r="Q11" i="2"/>
  <c r="Q12" i="2"/>
  <c r="Q13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8" i="2"/>
  <c r="D16" i="11"/>
  <c r="C5" i="11"/>
  <c r="C6" i="11"/>
  <c r="D5" i="11" s="1"/>
  <c r="C7" i="11"/>
  <c r="D6" i="11" s="1"/>
  <c r="C8" i="11"/>
  <c r="D7" i="11" s="1"/>
  <c r="C9" i="11"/>
  <c r="C10" i="11"/>
  <c r="D9" i="11" s="1"/>
  <c r="C11" i="11"/>
  <c r="D10" i="11" s="1"/>
  <c r="C12" i="11"/>
  <c r="D11" i="11" s="1"/>
  <c r="C13" i="11"/>
  <c r="D12" i="11" s="1"/>
  <c r="C14" i="11"/>
  <c r="D13" i="11" s="1"/>
  <c r="C15" i="11"/>
  <c r="D14" i="11" s="1"/>
  <c r="C16" i="11"/>
  <c r="D15" i="11" s="1"/>
  <c r="D8" i="11"/>
  <c r="P16" i="2"/>
  <c r="M16" i="2"/>
  <c r="G16" i="2"/>
  <c r="G9" i="2"/>
  <c r="M9" i="2"/>
  <c r="P9" i="2"/>
  <c r="G11" i="2"/>
  <c r="M11" i="2"/>
  <c r="P11" i="2"/>
  <c r="G12" i="2"/>
  <c r="M12" i="2"/>
  <c r="P12" i="2"/>
  <c r="G13" i="2"/>
  <c r="H14" i="2" s="1"/>
  <c r="M13" i="2"/>
  <c r="P13" i="2"/>
  <c r="G15" i="2"/>
  <c r="M15" i="2"/>
  <c r="P15" i="2"/>
  <c r="D3" i="10"/>
  <c r="D2" i="10"/>
  <c r="P70" i="2"/>
  <c r="M70" i="2"/>
  <c r="G70" i="2"/>
  <c r="P69" i="2"/>
  <c r="M69" i="2"/>
  <c r="G69" i="2"/>
  <c r="P68" i="2"/>
  <c r="M68" i="2"/>
  <c r="G68" i="2"/>
  <c r="P67" i="2"/>
  <c r="M67" i="2"/>
  <c r="G67" i="2"/>
  <c r="P66" i="2"/>
  <c r="M66" i="2"/>
  <c r="G66" i="2"/>
  <c r="P65" i="2"/>
  <c r="M65" i="2"/>
  <c r="G65" i="2"/>
  <c r="P64" i="2"/>
  <c r="M64" i="2"/>
  <c r="G64" i="2"/>
  <c r="P63" i="2"/>
  <c r="M63" i="2"/>
  <c r="G63" i="2"/>
  <c r="P62" i="2"/>
  <c r="M62" i="2"/>
  <c r="G62" i="2"/>
  <c r="P61" i="2"/>
  <c r="M61" i="2"/>
  <c r="G61" i="2"/>
  <c r="P60" i="2"/>
  <c r="M60" i="2"/>
  <c r="G60" i="2"/>
  <c r="P59" i="2"/>
  <c r="M59" i="2"/>
  <c r="G59" i="2"/>
  <c r="P58" i="2"/>
  <c r="M58" i="2"/>
  <c r="G58" i="2"/>
  <c r="P57" i="2"/>
  <c r="M57" i="2"/>
  <c r="G57" i="2"/>
  <c r="P56" i="2"/>
  <c r="M56" i="2"/>
  <c r="G56" i="2"/>
  <c r="P55" i="2"/>
  <c r="M55" i="2"/>
  <c r="G55" i="2"/>
  <c r="P54" i="2"/>
  <c r="M54" i="2"/>
  <c r="G54" i="2"/>
  <c r="P53" i="2"/>
  <c r="M53" i="2"/>
  <c r="G53" i="2"/>
  <c r="P52" i="2"/>
  <c r="M52" i="2"/>
  <c r="G52" i="2"/>
  <c r="P51" i="2"/>
  <c r="M51" i="2"/>
  <c r="G51" i="2"/>
  <c r="P50" i="2"/>
  <c r="M50" i="2"/>
  <c r="G50" i="2"/>
  <c r="P49" i="2"/>
  <c r="M49" i="2"/>
  <c r="G49" i="2"/>
  <c r="P48" i="2"/>
  <c r="M48" i="2"/>
  <c r="G48" i="2"/>
  <c r="P47" i="2"/>
  <c r="M47" i="2"/>
  <c r="G47" i="2"/>
  <c r="P46" i="2"/>
  <c r="M46" i="2"/>
  <c r="G46" i="2"/>
  <c r="P45" i="2"/>
  <c r="M45" i="2"/>
  <c r="G45" i="2"/>
  <c r="P44" i="2"/>
  <c r="M44" i="2"/>
  <c r="G44" i="2"/>
  <c r="P43" i="2"/>
  <c r="M43" i="2"/>
  <c r="G43" i="2"/>
  <c r="P42" i="2"/>
  <c r="M42" i="2"/>
  <c r="G42" i="2"/>
  <c r="P41" i="2"/>
  <c r="M41" i="2"/>
  <c r="G41" i="2"/>
  <c r="P40" i="2"/>
  <c r="M40" i="2"/>
  <c r="G40" i="2"/>
  <c r="P39" i="2"/>
  <c r="M39" i="2"/>
  <c r="G39" i="2"/>
  <c r="P86" i="2"/>
  <c r="M86" i="2"/>
  <c r="G86" i="2"/>
  <c r="P85" i="2"/>
  <c r="M85" i="2"/>
  <c r="G85" i="2"/>
  <c r="P84" i="2"/>
  <c r="M84" i="2"/>
  <c r="G84" i="2"/>
  <c r="P83" i="2"/>
  <c r="M83" i="2"/>
  <c r="G83" i="2"/>
  <c r="P82" i="2"/>
  <c r="M82" i="2"/>
  <c r="G82" i="2"/>
  <c r="P81" i="2"/>
  <c r="M81" i="2"/>
  <c r="G81" i="2"/>
  <c r="P80" i="2"/>
  <c r="M80" i="2"/>
  <c r="G80" i="2"/>
  <c r="P79" i="2"/>
  <c r="M79" i="2"/>
  <c r="G79" i="2"/>
  <c r="P78" i="2"/>
  <c r="M78" i="2"/>
  <c r="G78" i="2"/>
  <c r="P77" i="2"/>
  <c r="M77" i="2"/>
  <c r="G77" i="2"/>
  <c r="P76" i="2"/>
  <c r="M76" i="2"/>
  <c r="G76" i="2"/>
  <c r="P75" i="2"/>
  <c r="M75" i="2"/>
  <c r="G75" i="2"/>
  <c r="P74" i="2"/>
  <c r="M74" i="2"/>
  <c r="G74" i="2"/>
  <c r="P73" i="2"/>
  <c r="M73" i="2"/>
  <c r="G73" i="2"/>
  <c r="P72" i="2"/>
  <c r="M72" i="2"/>
  <c r="G72" i="2"/>
  <c r="P71" i="2"/>
  <c r="M71" i="2"/>
  <c r="G71" i="2"/>
  <c r="P94" i="2"/>
  <c r="M94" i="2"/>
  <c r="G94" i="2"/>
  <c r="P93" i="2"/>
  <c r="M93" i="2"/>
  <c r="G93" i="2"/>
  <c r="P92" i="2"/>
  <c r="M92" i="2"/>
  <c r="G92" i="2"/>
  <c r="P91" i="2"/>
  <c r="M91" i="2"/>
  <c r="G91" i="2"/>
  <c r="P90" i="2"/>
  <c r="M90" i="2"/>
  <c r="G90" i="2"/>
  <c r="P89" i="2"/>
  <c r="M89" i="2"/>
  <c r="G89" i="2"/>
  <c r="P88" i="2"/>
  <c r="M88" i="2"/>
  <c r="G88" i="2"/>
  <c r="P87" i="2"/>
  <c r="M87" i="2"/>
  <c r="G87" i="2"/>
  <c r="P98" i="2"/>
  <c r="M98" i="2"/>
  <c r="G98" i="2"/>
  <c r="P97" i="2"/>
  <c r="M97" i="2"/>
  <c r="G97" i="2"/>
  <c r="P96" i="2"/>
  <c r="M96" i="2"/>
  <c r="G96" i="2"/>
  <c r="P95" i="2"/>
  <c r="M95" i="2"/>
  <c r="G95" i="2"/>
  <c r="O88" i="2" l="1"/>
  <c r="N88" i="2"/>
  <c r="O48" i="2"/>
  <c r="N48" i="2"/>
  <c r="N95" i="2"/>
  <c r="O95" i="2"/>
  <c r="O75" i="2"/>
  <c r="N75" i="2"/>
  <c r="O59" i="2"/>
  <c r="N59" i="2"/>
  <c r="O98" i="2"/>
  <c r="N98" i="2"/>
  <c r="N86" i="2"/>
  <c r="O86" i="2"/>
  <c r="O97" i="2"/>
  <c r="N97" i="2"/>
  <c r="N93" i="2"/>
  <c r="O93" i="2"/>
  <c r="O77" i="2"/>
  <c r="N77" i="2"/>
  <c r="N85" i="2"/>
  <c r="O85" i="2"/>
  <c r="O45" i="2"/>
  <c r="N45" i="2"/>
  <c r="O53" i="2"/>
  <c r="N53" i="2"/>
  <c r="N61" i="2"/>
  <c r="O61" i="2"/>
  <c r="O69" i="2"/>
  <c r="N69" i="2"/>
  <c r="N15" i="2"/>
  <c r="O15" i="2" s="1"/>
  <c r="N11" i="2"/>
  <c r="O11" i="2" s="1"/>
  <c r="O72" i="2"/>
  <c r="N72" i="2"/>
  <c r="O67" i="2"/>
  <c r="N67" i="2"/>
  <c r="N13" i="2"/>
  <c r="O13" i="2" s="1"/>
  <c r="N9" i="2"/>
  <c r="O9" i="2" s="1"/>
  <c r="O96" i="2"/>
  <c r="N96" i="2"/>
  <c r="O92" i="2"/>
  <c r="N92" i="2"/>
  <c r="O76" i="2"/>
  <c r="N76" i="2"/>
  <c r="O84" i="2"/>
  <c r="N84" i="2"/>
  <c r="O44" i="2"/>
  <c r="N44" i="2"/>
  <c r="O52" i="2"/>
  <c r="N52" i="2"/>
  <c r="O60" i="2"/>
  <c r="N60" i="2"/>
  <c r="O68" i="2"/>
  <c r="N68" i="2"/>
  <c r="O80" i="2"/>
  <c r="N80" i="2"/>
  <c r="O56" i="2"/>
  <c r="N56" i="2"/>
  <c r="O91" i="2"/>
  <c r="N91" i="2"/>
  <c r="O83" i="2"/>
  <c r="N83" i="2"/>
  <c r="O43" i="2"/>
  <c r="N43" i="2"/>
  <c r="N94" i="2"/>
  <c r="O94" i="2"/>
  <c r="N46" i="2"/>
  <c r="O46" i="2"/>
  <c r="N62" i="2"/>
  <c r="O62" i="2"/>
  <c r="O89" i="2"/>
  <c r="N89" i="2"/>
  <c r="O81" i="2"/>
  <c r="N81" i="2"/>
  <c r="O49" i="2"/>
  <c r="N49" i="2"/>
  <c r="N87" i="2"/>
  <c r="O87" i="2"/>
  <c r="N71" i="2"/>
  <c r="O71" i="2"/>
  <c r="N79" i="2"/>
  <c r="O79" i="2"/>
  <c r="N39" i="2"/>
  <c r="O39" i="2"/>
  <c r="N47" i="2"/>
  <c r="O47" i="2"/>
  <c r="N55" i="2"/>
  <c r="O55" i="2"/>
  <c r="N63" i="2"/>
  <c r="O63" i="2"/>
  <c r="N12" i="2"/>
  <c r="O12" i="2" s="1"/>
  <c r="O40" i="2"/>
  <c r="N40" i="2"/>
  <c r="O64" i="2"/>
  <c r="N64" i="2"/>
  <c r="O51" i="2"/>
  <c r="N51" i="2"/>
  <c r="N78" i="2"/>
  <c r="O78" i="2"/>
  <c r="N54" i="2"/>
  <c r="O54" i="2"/>
  <c r="N70" i="2"/>
  <c r="O70" i="2"/>
  <c r="O73" i="2"/>
  <c r="N73" i="2"/>
  <c r="N41" i="2"/>
  <c r="O41" i="2"/>
  <c r="O57" i="2"/>
  <c r="N57" i="2"/>
  <c r="N65" i="2"/>
  <c r="O65" i="2"/>
  <c r="O90" i="2"/>
  <c r="N90" i="2"/>
  <c r="O74" i="2"/>
  <c r="N74" i="2"/>
  <c r="O82" i="2"/>
  <c r="N82" i="2"/>
  <c r="O42" i="2"/>
  <c r="N42" i="2"/>
  <c r="O50" i="2"/>
  <c r="N50" i="2"/>
  <c r="O58" i="2"/>
  <c r="N58" i="2"/>
  <c r="O66" i="2"/>
  <c r="N66" i="2"/>
  <c r="N16" i="2"/>
  <c r="O16" i="2" s="1"/>
  <c r="D5" i="10"/>
  <c r="G5" i="11" s="1"/>
  <c r="H5" i="11" s="1"/>
  <c r="T14" i="2"/>
  <c r="T59" i="2"/>
  <c r="T51" i="2"/>
  <c r="T43" i="2"/>
  <c r="T35" i="2"/>
  <c r="T98" i="2"/>
  <c r="T90" i="2"/>
  <c r="T82" i="2"/>
  <c r="T74" i="2"/>
  <c r="T66" i="2"/>
  <c r="T58" i="2"/>
  <c r="T50" i="2"/>
  <c r="T42" i="2"/>
  <c r="T34" i="2"/>
  <c r="T99" i="2"/>
  <c r="T89" i="2"/>
  <c r="T65" i="2"/>
  <c r="T33" i="2"/>
  <c r="T96" i="2"/>
  <c r="T88" i="2"/>
  <c r="T80" i="2"/>
  <c r="T72" i="2"/>
  <c r="T64" i="2"/>
  <c r="T56" i="2"/>
  <c r="T48" i="2"/>
  <c r="T40" i="2"/>
  <c r="T32" i="2"/>
  <c r="T67" i="2"/>
  <c r="T81" i="2"/>
  <c r="T41" i="2"/>
  <c r="T103" i="2"/>
  <c r="T95" i="2"/>
  <c r="T87" i="2"/>
  <c r="T79" i="2"/>
  <c r="T71" i="2"/>
  <c r="T63" i="2"/>
  <c r="T55" i="2"/>
  <c r="T47" i="2"/>
  <c r="T39" i="2"/>
  <c r="T31" i="2"/>
  <c r="T75" i="2"/>
  <c r="T57" i="2"/>
  <c r="T102" i="2"/>
  <c r="T94" i="2"/>
  <c r="T86" i="2"/>
  <c r="T78" i="2"/>
  <c r="T70" i="2"/>
  <c r="T62" i="2"/>
  <c r="T54" i="2"/>
  <c r="T46" i="2"/>
  <c r="T38" i="2"/>
  <c r="T91" i="2"/>
  <c r="T97" i="2"/>
  <c r="T73" i="2"/>
  <c r="T49" i="2"/>
  <c r="T101" i="2"/>
  <c r="T93" i="2"/>
  <c r="T85" i="2"/>
  <c r="T77" i="2"/>
  <c r="T69" i="2"/>
  <c r="T61" i="2"/>
  <c r="T53" i="2"/>
  <c r="T45" i="2"/>
  <c r="T37" i="2"/>
  <c r="T83" i="2"/>
  <c r="T100" i="2"/>
  <c r="T92" i="2"/>
  <c r="T84" i="2"/>
  <c r="T76" i="2"/>
  <c r="T68" i="2"/>
  <c r="T60" i="2"/>
  <c r="T52" i="2"/>
  <c r="T44" i="2"/>
  <c r="T36" i="2"/>
  <c r="H12" i="2"/>
  <c r="H15" i="2"/>
  <c r="H11" i="2"/>
  <c r="H13" i="2"/>
  <c r="H9" i="2"/>
  <c r="E8" i="11"/>
  <c r="F8" i="11" s="1"/>
  <c r="E7" i="11"/>
  <c r="F7" i="11" s="1"/>
  <c r="E16" i="11"/>
  <c r="F16" i="11" s="1"/>
  <c r="E15" i="11"/>
  <c r="F15" i="11" s="1"/>
  <c r="E14" i="11"/>
  <c r="F14" i="11" s="1"/>
  <c r="E13" i="11"/>
  <c r="F13" i="11" s="1"/>
  <c r="E12" i="11"/>
  <c r="F12" i="11" s="1"/>
  <c r="E11" i="11"/>
  <c r="F11" i="11" s="1"/>
  <c r="E9" i="11"/>
  <c r="F9" i="11" s="1"/>
  <c r="L6" i="11" a="1"/>
  <c r="L6" i="11" s="1"/>
  <c r="E5" i="11"/>
  <c r="F5" i="11" s="1"/>
  <c r="L11" i="11" a="1"/>
  <c r="L11" i="11" s="1"/>
  <c r="M8" i="11" a="1"/>
  <c r="M8" i="11" s="1"/>
  <c r="L8" i="11" a="1"/>
  <c r="L8" i="11" s="1"/>
  <c r="M15" i="11" a="1"/>
  <c r="M15" i="11" s="1"/>
  <c r="M13" i="11" a="1"/>
  <c r="M13" i="11" s="1"/>
  <c r="M5" i="11" a="1"/>
  <c r="M5" i="11" s="1"/>
  <c r="M6" i="11" a="1"/>
  <c r="M6" i="11" s="1"/>
  <c r="M10" i="11" a="1"/>
  <c r="M10" i="11" s="1"/>
  <c r="L9" i="11" a="1"/>
  <c r="L9" i="11" s="1"/>
  <c r="M16" i="11" a="1"/>
  <c r="M16" i="11" s="1"/>
  <c r="M9" i="11" a="1"/>
  <c r="M9" i="11" s="1"/>
  <c r="L10" i="11" a="1"/>
  <c r="L10" i="11" s="1"/>
  <c r="M14" i="11" a="1"/>
  <c r="M14" i="11" s="1"/>
  <c r="M7" i="11" a="1"/>
  <c r="M7" i="11" s="1"/>
  <c r="L12" i="11" a="1"/>
  <c r="L12" i="11" s="1"/>
  <c r="L5" i="11" a="1"/>
  <c r="L5" i="11" s="1"/>
  <c r="L13" i="11" a="1"/>
  <c r="L13" i="11" s="1"/>
  <c r="M12" i="11" a="1"/>
  <c r="M12" i="11" s="1"/>
  <c r="L14" i="11" a="1"/>
  <c r="L14" i="11" s="1"/>
  <c r="M11" i="11" a="1"/>
  <c r="M11" i="11" s="1"/>
  <c r="L7" i="11" a="1"/>
  <c r="L7" i="11" s="1"/>
  <c r="L15" i="11" a="1"/>
  <c r="L15" i="11" s="1"/>
  <c r="L16" i="11" a="1"/>
  <c r="L16" i="11" s="1"/>
  <c r="K2" i="11"/>
  <c r="E6" i="11"/>
  <c r="F6" i="11" s="1"/>
  <c r="E10" i="11"/>
  <c r="F10" i="11" s="1"/>
  <c r="T11" i="2" l="1"/>
  <c r="T15" i="2"/>
  <c r="T9" i="2"/>
  <c r="T12" i="2"/>
  <c r="T13" i="2"/>
  <c r="L18" i="11"/>
  <c r="G12" i="11"/>
  <c r="H12" i="11" s="1"/>
  <c r="G11" i="11"/>
  <c r="H11" i="11" s="1"/>
  <c r="G15" i="11"/>
  <c r="H15" i="11" s="1"/>
  <c r="G8" i="11"/>
  <c r="H8" i="11" s="1"/>
  <c r="G16" i="11"/>
  <c r="H16" i="11" s="1"/>
  <c r="G13" i="11"/>
  <c r="H13" i="11" s="1"/>
  <c r="G7" i="11"/>
  <c r="H7" i="11" s="1"/>
  <c r="G9" i="11"/>
  <c r="H9" i="11" s="1"/>
  <c r="G10" i="11"/>
  <c r="H10" i="11" s="1"/>
  <c r="G14" i="11"/>
  <c r="H14" i="11" s="1"/>
  <c r="G6" i="11"/>
  <c r="H6" i="11" s="1"/>
  <c r="M18" i="11"/>
  <c r="E18" i="11"/>
  <c r="F18" i="11"/>
  <c r="A11" i="8"/>
  <c r="A10" i="8"/>
  <c r="A9" i="8"/>
  <c r="A8" i="8"/>
  <c r="A7" i="8"/>
  <c r="A6" i="8"/>
  <c r="A5" i="8"/>
  <c r="A4" i="8"/>
  <c r="A3" i="8"/>
  <c r="A5" i="7"/>
  <c r="A6" i="7"/>
  <c r="A7" i="7"/>
  <c r="A8" i="7"/>
  <c r="A9" i="7"/>
  <c r="A10" i="7"/>
  <c r="A11" i="7"/>
  <c r="A4" i="7"/>
  <c r="B4" i="7" s="1"/>
  <c r="P100" i="2"/>
  <c r="M100" i="2"/>
  <c r="G100" i="2"/>
  <c r="P99" i="2"/>
  <c r="M99" i="2"/>
  <c r="G99" i="2"/>
  <c r="P38" i="2"/>
  <c r="M38" i="2"/>
  <c r="G38" i="2"/>
  <c r="P37" i="2"/>
  <c r="M37" i="2"/>
  <c r="G37" i="2"/>
  <c r="P36" i="2"/>
  <c r="M36" i="2"/>
  <c r="G3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101" i="2"/>
  <c r="P102" i="2"/>
  <c r="P103" i="2"/>
  <c r="P8" i="2"/>
  <c r="A3" i="7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101" i="2"/>
  <c r="M102" i="2"/>
  <c r="M103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101" i="2"/>
  <c r="G102" i="2"/>
  <c r="G103" i="2"/>
  <c r="G8" i="2"/>
  <c r="O8" i="2" s="1"/>
  <c r="N31" i="2" l="1"/>
  <c r="O31" i="2"/>
  <c r="N23" i="2"/>
  <c r="O23" i="2" s="1"/>
  <c r="O36" i="2"/>
  <c r="N36" i="2"/>
  <c r="N103" i="2"/>
  <c r="O103" i="2"/>
  <c r="O37" i="2"/>
  <c r="N37" i="2"/>
  <c r="N24" i="2"/>
  <c r="O24" i="2" s="1"/>
  <c r="N29" i="2"/>
  <c r="O29" i="2" s="1"/>
  <c r="O19" i="2"/>
  <c r="N19" i="2"/>
  <c r="O100" i="2"/>
  <c r="N100" i="2"/>
  <c r="N30" i="2"/>
  <c r="O30" i="2" s="1"/>
  <c r="O99" i="2"/>
  <c r="N99" i="2"/>
  <c r="N102" i="2"/>
  <c r="O102" i="2"/>
  <c r="N28" i="2"/>
  <c r="O28" i="2" s="1"/>
  <c r="O35" i="2"/>
  <c r="N35" i="2"/>
  <c r="N26" i="2"/>
  <c r="O26" i="2" s="1"/>
  <c r="N18" i="2"/>
  <c r="O18" i="2" s="1"/>
  <c r="O32" i="2"/>
  <c r="N32" i="2"/>
  <c r="N22" i="2"/>
  <c r="O22" i="2" s="1"/>
  <c r="N21" i="2"/>
  <c r="O21" i="2" s="1"/>
  <c r="O101" i="2"/>
  <c r="N101" i="2"/>
  <c r="O20" i="2"/>
  <c r="N20" i="2"/>
  <c r="N27" i="2"/>
  <c r="O27" i="2" s="1"/>
  <c r="O34" i="2"/>
  <c r="N34" i="2"/>
  <c r="O33" i="2"/>
  <c r="N33" i="2"/>
  <c r="N25" i="2"/>
  <c r="O25" i="2" s="1"/>
  <c r="O17" i="2"/>
  <c r="N17" i="2"/>
  <c r="N38" i="2"/>
  <c r="O38" i="2"/>
  <c r="H8" i="2"/>
  <c r="H10" i="2"/>
  <c r="T10" i="2" s="1"/>
  <c r="C4" i="7"/>
  <c r="C11" i="7"/>
  <c r="C10" i="7"/>
  <c r="C9" i="7"/>
  <c r="C8" i="7"/>
  <c r="C7" i="7"/>
  <c r="C6" i="7"/>
  <c r="C5" i="7"/>
  <c r="H29" i="2"/>
  <c r="H28" i="2"/>
  <c r="H21" i="2"/>
  <c r="H22" i="2"/>
  <c r="H23" i="2"/>
  <c r="H20" i="2"/>
  <c r="H19" i="2"/>
  <c r="H24" i="2"/>
  <c r="H25" i="2"/>
  <c r="H26" i="2"/>
  <c r="H27" i="2"/>
  <c r="H30" i="2"/>
  <c r="H18" i="2"/>
  <c r="H16" i="2"/>
  <c r="H17" i="2"/>
  <c r="H18" i="11"/>
  <c r="G18" i="11"/>
  <c r="G105" i="2"/>
  <c r="G8" i="8"/>
  <c r="C11" i="8"/>
  <c r="C4" i="8"/>
  <c r="G104" i="2"/>
  <c r="L7" i="8"/>
  <c r="E8" i="8"/>
  <c r="M6" i="8"/>
  <c r="F6" i="8"/>
  <c r="I11" i="8"/>
  <c r="E6" i="8"/>
  <c r="L11" i="8"/>
  <c r="D11" i="8"/>
  <c r="K7" i="8"/>
  <c r="L5" i="8"/>
  <c r="K11" i="8"/>
  <c r="F8" i="8"/>
  <c r="K5" i="8"/>
  <c r="G6" i="8"/>
  <c r="H10" i="8"/>
  <c r="I5" i="8"/>
  <c r="F10" i="8"/>
  <c r="M8" i="8"/>
  <c r="B11" i="8"/>
  <c r="C5" i="8"/>
  <c r="M10" i="8"/>
  <c r="I4" i="8"/>
  <c r="H11" i="8"/>
  <c r="L10" i="8"/>
  <c r="D10" i="8"/>
  <c r="L8" i="8"/>
  <c r="L6" i="8"/>
  <c r="G10" i="8"/>
  <c r="C9" i="8"/>
  <c r="G11" i="8"/>
  <c r="K10" i="8"/>
  <c r="C10" i="8"/>
  <c r="G9" i="8"/>
  <c r="K8" i="8"/>
  <c r="C8" i="8"/>
  <c r="G7" i="8"/>
  <c r="K6" i="8"/>
  <c r="C6" i="8"/>
  <c r="G5" i="8"/>
  <c r="L9" i="8"/>
  <c r="G4" i="8"/>
  <c r="F11" i="8"/>
  <c r="J10" i="8"/>
  <c r="B10" i="8"/>
  <c r="F9" i="8"/>
  <c r="J8" i="8"/>
  <c r="F7" i="8"/>
  <c r="F5" i="8"/>
  <c r="K9" i="8"/>
  <c r="E10" i="8"/>
  <c r="M11" i="8"/>
  <c r="E11" i="8"/>
  <c r="I10" i="8"/>
  <c r="M9" i="8"/>
  <c r="M7" i="8"/>
  <c r="E7" i="8"/>
  <c r="I6" i="8"/>
  <c r="M5" i="8"/>
  <c r="E5" i="8"/>
  <c r="J11" i="8"/>
  <c r="J5" i="8"/>
  <c r="F4" i="8"/>
  <c r="M4" i="8"/>
  <c r="E4" i="8"/>
  <c r="L4" i="8"/>
  <c r="D4" i="8"/>
  <c r="K4" i="8"/>
  <c r="B4" i="8"/>
  <c r="I8" i="8"/>
  <c r="I11" i="7"/>
  <c r="I5" i="7"/>
  <c r="B5" i="7"/>
  <c r="M10" i="7"/>
  <c r="E8" i="7"/>
  <c r="H11" i="7"/>
  <c r="L10" i="7"/>
  <c r="D10" i="7"/>
  <c r="H9" i="7"/>
  <c r="L8" i="7"/>
  <c r="D8" i="7"/>
  <c r="H7" i="7"/>
  <c r="L6" i="7"/>
  <c r="D6" i="7"/>
  <c r="H5" i="7"/>
  <c r="E10" i="7"/>
  <c r="I9" i="7"/>
  <c r="G11" i="7"/>
  <c r="K10" i="7"/>
  <c r="G9" i="7"/>
  <c r="K8" i="7"/>
  <c r="G7" i="7"/>
  <c r="K6" i="7"/>
  <c r="G5" i="7"/>
  <c r="M6" i="7"/>
  <c r="F11" i="7"/>
  <c r="J10" i="7"/>
  <c r="B10" i="7"/>
  <c r="F9" i="7"/>
  <c r="J8" i="7"/>
  <c r="B8" i="7"/>
  <c r="F7" i="7"/>
  <c r="J6" i="7"/>
  <c r="B6" i="7"/>
  <c r="F5" i="7"/>
  <c r="I7" i="7"/>
  <c r="M11" i="7"/>
  <c r="E11" i="7"/>
  <c r="I10" i="7"/>
  <c r="M9" i="7"/>
  <c r="E9" i="7"/>
  <c r="I8" i="7"/>
  <c r="M7" i="7"/>
  <c r="E7" i="7"/>
  <c r="I6" i="7"/>
  <c r="M5" i="7"/>
  <c r="E5" i="7"/>
  <c r="M8" i="7"/>
  <c r="L11" i="7"/>
  <c r="D11" i="7"/>
  <c r="H10" i="7"/>
  <c r="L9" i="7"/>
  <c r="D9" i="7"/>
  <c r="H8" i="7"/>
  <c r="L7" i="7"/>
  <c r="D7" i="7"/>
  <c r="H6" i="7"/>
  <c r="L5" i="7"/>
  <c r="D5" i="7"/>
  <c r="E6" i="7"/>
  <c r="K11" i="7"/>
  <c r="G10" i="7"/>
  <c r="K9" i="7"/>
  <c r="G8" i="7"/>
  <c r="K7" i="7"/>
  <c r="G6" i="7"/>
  <c r="K5" i="7"/>
  <c r="J11" i="7"/>
  <c r="B11" i="7"/>
  <c r="F10" i="7"/>
  <c r="J9" i="7"/>
  <c r="B9" i="7"/>
  <c r="F8" i="7"/>
  <c r="J7" i="7"/>
  <c r="B7" i="7"/>
  <c r="F6" i="7"/>
  <c r="J5" i="7"/>
  <c r="H4" i="8"/>
  <c r="H6" i="8"/>
  <c r="J6" i="8"/>
  <c r="I9" i="8"/>
  <c r="H5" i="8"/>
  <c r="H9" i="8"/>
  <c r="E9" i="8" l="1"/>
  <c r="E12" i="8" s="1"/>
  <c r="D7" i="8"/>
  <c r="D9" i="8"/>
  <c r="D6" i="8"/>
  <c r="D8" i="8"/>
  <c r="D5" i="8"/>
  <c r="B9" i="8"/>
  <c r="B6" i="8"/>
  <c r="B5" i="8"/>
  <c r="B8" i="8"/>
  <c r="B7" i="8"/>
  <c r="I7" i="8"/>
  <c r="I12" i="8" s="1"/>
  <c r="T18" i="2"/>
  <c r="T24" i="2"/>
  <c r="T30" i="2"/>
  <c r="T20" i="2"/>
  <c r="T27" i="2"/>
  <c r="T23" i="2"/>
  <c r="T26" i="2"/>
  <c r="T22" i="2"/>
  <c r="T8" i="2"/>
  <c r="T21" i="2"/>
  <c r="T17" i="2"/>
  <c r="T28" i="2"/>
  <c r="T19" i="2"/>
  <c r="T16" i="2"/>
  <c r="T25" i="2"/>
  <c r="T29" i="2"/>
  <c r="J9" i="8"/>
  <c r="C7" i="8"/>
  <c r="C12" i="8" s="1"/>
  <c r="J7" i="8"/>
  <c r="J4" i="8"/>
  <c r="N4" i="8" s="1"/>
  <c r="I10" i="11"/>
  <c r="J10" i="11" s="1"/>
  <c r="I13" i="11"/>
  <c r="J13" i="11" s="1"/>
  <c r="I12" i="11"/>
  <c r="J12" i="11" s="1"/>
  <c r="I7" i="11"/>
  <c r="J7" i="11" s="1"/>
  <c r="I15" i="11"/>
  <c r="J15" i="11" s="1"/>
  <c r="I11" i="11"/>
  <c r="J11" i="11" s="1"/>
  <c r="I16" i="11"/>
  <c r="J16" i="11" s="1"/>
  <c r="I14" i="11"/>
  <c r="J14" i="11" s="1"/>
  <c r="I9" i="11"/>
  <c r="J9" i="11" s="1"/>
  <c r="I8" i="11"/>
  <c r="J8" i="11" s="1"/>
  <c r="I5" i="11"/>
  <c r="J5" i="11" s="1"/>
  <c r="I6" i="11"/>
  <c r="J6" i="11" s="1"/>
  <c r="H8" i="8"/>
  <c r="H7" i="8"/>
  <c r="O105" i="2"/>
  <c r="O104" i="2"/>
  <c r="K12" i="8"/>
  <c r="M12" i="8"/>
  <c r="N10" i="8"/>
  <c r="F12" i="8"/>
  <c r="G12" i="8"/>
  <c r="N11" i="8"/>
  <c r="L12" i="8"/>
  <c r="N6" i="7"/>
  <c r="N7" i="7"/>
  <c r="N11" i="7"/>
  <c r="N5" i="7"/>
  <c r="N9" i="7"/>
  <c r="N8" i="7"/>
  <c r="N10" i="7"/>
  <c r="D12" i="8" l="1"/>
  <c r="N6" i="8"/>
  <c r="N9" i="8"/>
  <c r="N8" i="8"/>
  <c r="B12" i="8"/>
  <c r="N5" i="8"/>
  <c r="J12" i="8"/>
  <c r="K5" i="11"/>
  <c r="I18" i="11"/>
  <c r="H12" i="8"/>
  <c r="N7" i="8"/>
  <c r="N12" i="8" l="1"/>
  <c r="M4" i="7"/>
  <c r="M12" i="7" s="1"/>
  <c r="L4" i="7"/>
  <c r="L12" i="7" s="1"/>
  <c r="C12" i="7"/>
  <c r="E4" i="7"/>
  <c r="E12" i="7" s="1"/>
  <c r="H4" i="7"/>
  <c r="H12" i="7" s="1"/>
  <c r="G4" i="7"/>
  <c r="G12" i="7" s="1"/>
  <c r="I4" i="7"/>
  <c r="I12" i="7" s="1"/>
  <c r="D4" i="7"/>
  <c r="D12" i="7" s="1"/>
  <c r="J4" i="7"/>
  <c r="J12" i="7" s="1"/>
  <c r="K4" i="7"/>
  <c r="K12" i="7" s="1"/>
  <c r="F4" i="7"/>
  <c r="F12" i="7" s="1"/>
  <c r="B12" i="7"/>
  <c r="N4" i="7" l="1"/>
  <c r="N12" i="7" s="1"/>
  <c r="K6" i="11"/>
  <c r="K7" i="11" s="1"/>
  <c r="K8" i="11" s="1"/>
  <c r="K9" i="11" s="1"/>
  <c r="K10" i="11" s="1"/>
  <c r="K11" i="11" s="1"/>
  <c r="K12" i="11" s="1"/>
  <c r="K13" i="11" s="1"/>
  <c r="K14" i="11" s="1"/>
  <c r="K15" i="11" s="1"/>
  <c r="K16" i="11" s="1"/>
  <c r="K17" i="11" s="1"/>
  <c r="J18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<sst xmlns="http://schemas.openxmlformats.org/spreadsheetml/2006/main" count="224" uniqueCount="116">
  <si>
    <t>Start</t>
  </si>
  <si>
    <t>Überstunden Monat (bis heute)</t>
  </si>
  <si>
    <t>w</t>
  </si>
  <si>
    <t>Hilfsspalten</t>
  </si>
  <si>
    <t>Montant</t>
  </si>
  <si>
    <t>従業員名</t>
  </si>
  <si>
    <t>日付</t>
  </si>
  <si>
    <t>名称</t>
  </si>
  <si>
    <t>元日</t>
  </si>
  <si>
    <t>振替休日</t>
  </si>
  <si>
    <t>成人の日</t>
  </si>
  <si>
    <t>建国記念の日</t>
  </si>
  <si>
    <t>天皇誕生日</t>
  </si>
  <si>
    <t>春分の日</t>
  </si>
  <si>
    <t>昭和の日</t>
  </si>
  <si>
    <t>憲法記念日</t>
  </si>
  <si>
    <t>みどりの日</t>
  </si>
  <si>
    <t>こどもの日</t>
  </si>
  <si>
    <t>海の日</t>
  </si>
  <si>
    <t>山の日</t>
  </si>
  <si>
    <t>敬老の日</t>
  </si>
  <si>
    <t>秋分の日</t>
  </si>
  <si>
    <t>スポーツの日（体育の日改め）</t>
  </si>
  <si>
    <t>文化の日</t>
  </si>
  <si>
    <t>勤労感謝の日</t>
  </si>
  <si>
    <t>年度</t>
  </si>
  <si>
    <t>1日の労働時間</t>
  </si>
  <si>
    <t>出勤</t>
  </si>
  <si>
    <t>退勤</t>
  </si>
  <si>
    <t>時</t>
  </si>
  <si>
    <t>分</t>
  </si>
  <si>
    <t>備考</t>
  </si>
  <si>
    <t>種類</t>
  </si>
  <si>
    <t>有給休暇</t>
  </si>
  <si>
    <t>病気休暇</t>
  </si>
  <si>
    <t>合計</t>
  </si>
  <si>
    <t>プロジェクトA</t>
  </si>
  <si>
    <t>プロジェクトB</t>
  </si>
  <si>
    <t>プロジェクトG</t>
  </si>
  <si>
    <t>内部</t>
  </si>
  <si>
    <t>営業</t>
  </si>
  <si>
    <t>連携</t>
  </si>
  <si>
    <t>無</t>
  </si>
  <si>
    <t>請求有無</t>
  </si>
  <si>
    <t>有</t>
  </si>
  <si>
    <t>月</t>
  </si>
  <si>
    <t>会計</t>
  </si>
  <si>
    <t>企画提案</t>
  </si>
  <si>
    <t>内部調整</t>
  </si>
  <si>
    <t>顧客アポ</t>
  </si>
  <si>
    <t>実務</t>
  </si>
  <si>
    <t>有限会社A</t>
  </si>
  <si>
    <t>有限会社B</t>
  </si>
  <si>
    <t>株式会社H</t>
  </si>
  <si>
    <t>時間単価</t>
  </si>
  <si>
    <r>
      <t>時</t>
    </r>
    <r>
      <rPr>
        <b/>
        <sz val="12"/>
        <color theme="0"/>
        <rFont val="MS PGothic"/>
        <family val="2"/>
        <charset val="128"/>
      </rPr>
      <t>2</t>
    </r>
  </si>
  <si>
    <r>
      <t>分</t>
    </r>
    <r>
      <rPr>
        <b/>
        <sz val="12"/>
        <color theme="0"/>
        <rFont val="MS PGothic"/>
        <family val="2"/>
        <charset val="128"/>
      </rPr>
      <t>3</t>
    </r>
  </si>
  <si>
    <t>山田花子</t>
    <rPh sb="0" eb="4">
      <t>やまだ</t>
    </rPh>
    <phoneticPr fontId="3" type="noConversion"/>
  </si>
  <si>
    <t>1日の労働時間の上限</t>
    <rPh sb="8" eb="10">
      <t>じょう</t>
    </rPh>
    <phoneticPr fontId="3" type="noConversion"/>
  </si>
  <si>
    <t>労働時間</t>
    <rPh sb="0" eb="2">
      <t>ろうどう</t>
    </rPh>
    <phoneticPr fontId="3" type="noConversion"/>
  </si>
  <si>
    <t>期間</t>
    <rPh sb="0" eb="2">
      <t>きかn</t>
    </rPh>
    <phoneticPr fontId="3" type="noConversion"/>
  </si>
  <si>
    <t>従業員名</t>
    <rPh sb="0" eb="4">
      <t>じゅうぎょう</t>
    </rPh>
    <phoneticPr fontId="3" type="noConversion"/>
  </si>
  <si>
    <t>1日の労働時間</t>
    <phoneticPr fontId="3" type="noConversion"/>
  </si>
  <si>
    <t>1日の休憩時間</t>
    <rPh sb="3" eb="5">
      <t>きゅうけい</t>
    </rPh>
    <phoneticPr fontId="3" type="noConversion"/>
  </si>
  <si>
    <t>業務</t>
    <rPh sb="0" eb="2">
      <t>ぎょうむ</t>
    </rPh>
    <phoneticPr fontId="3" type="noConversion"/>
  </si>
  <si>
    <t>実務</t>
    <phoneticPr fontId="3" type="noConversion"/>
  </si>
  <si>
    <t>外部調整</t>
    <phoneticPr fontId="3" type="noConversion"/>
  </si>
  <si>
    <t>顧客アポ</t>
    <phoneticPr fontId="3" type="noConversion"/>
  </si>
  <si>
    <t>会計</t>
    <phoneticPr fontId="3" type="noConversion"/>
  </si>
  <si>
    <t>詳細</t>
    <rPh sb="0" eb="2">
      <t>しょうさい</t>
    </rPh>
    <phoneticPr fontId="3" type="noConversion"/>
  </si>
  <si>
    <t>○○様と面談</t>
    <rPh sb="2" eb="3">
      <t xml:space="preserve">さま </t>
    </rPh>
    <rPh sb="4" eb="6">
      <t>めんだn</t>
    </rPh>
    <phoneticPr fontId="3" type="noConversion"/>
  </si>
  <si>
    <t>企画報告</t>
    <rPh sb="0" eb="2">
      <t>きかく</t>
    </rPh>
    <rPh sb="2" eb="4">
      <t>ほうこく</t>
    </rPh>
    <phoneticPr fontId="3" type="noConversion"/>
  </si>
  <si>
    <t>企画会議・資料</t>
    <phoneticPr fontId="3" type="noConversion"/>
  </si>
  <si>
    <t>企画書作成</t>
    <rPh sb="0" eb="1">
      <t>きかくか</t>
    </rPh>
    <rPh sb="2" eb="3">
      <t>sy</t>
    </rPh>
    <rPh sb="3" eb="5">
      <t>さくせい</t>
    </rPh>
    <phoneticPr fontId="3" type="noConversion"/>
  </si>
  <si>
    <t>データ処理作業</t>
    <rPh sb="3" eb="7">
      <t>しょり</t>
    </rPh>
    <phoneticPr fontId="3" type="noConversion"/>
  </si>
  <si>
    <t>△△様に電話</t>
    <phoneticPr fontId="3" type="noConversion"/>
  </si>
  <si>
    <t>企画会議</t>
    <phoneticPr fontId="3" type="noConversion"/>
  </si>
  <si>
    <t>時間単価</t>
    <phoneticPr fontId="3" type="noConversion"/>
  </si>
  <si>
    <t>取得休暇合計</t>
    <rPh sb="0" eb="4">
      <t>シュトク</t>
    </rPh>
    <rPh sb="4" eb="6">
      <t>ゴウケイ</t>
    </rPh>
    <phoneticPr fontId="16"/>
  </si>
  <si>
    <t>1月</t>
  </si>
  <si>
    <t>1月</t>
    <phoneticPr fontId="3" type="noConversion"/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</si>
  <si>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</si>
  <si>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</si>
  <si>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</si>
  <si>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</si>
  <si>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</si>
  <si>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</si>
  <si>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</si>
  <si>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</si>
  <si>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</si>
  <si>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</si>
  <si>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</si>
  <si>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合計</t>
    <rPh sb="0" eb="2">
      <t>ごうけい</t>
    </rPh>
    <phoneticPr fontId="3" type="noConversion"/>
  </si>
  <si>
    <t>有給休暇日数</t>
    <rPh sb="0" eb="4">
      <t>ゆうきゅう</t>
    </rPh>
    <phoneticPr fontId="3" type="noConversion"/>
  </si>
  <si>
    <t>小計</t>
    <rPh sb="0" eb="2">
      <t xml:space="preserve">しょうけい </t>
    </rPh>
    <phoneticPr fontId="3" type="noConversion"/>
  </si>
  <si>
    <t>休憩時間 (8時間以上)</t>
    <rPh sb="9" eb="11">
      <t>いじょう</t>
    </rPh>
    <phoneticPr fontId="3" type="noConversion"/>
  </si>
  <si>
    <t>休憩時間 (6〜8時間)</t>
    <phoneticPr fontId="3" type="noConversion"/>
  </si>
  <si>
    <t>終了時間</t>
    <rPh sb="0" eb="4">
      <t>しゅうりょう</t>
    </rPh>
    <phoneticPr fontId="3" type="noConversion"/>
  </si>
  <si>
    <t>労働時間基準</t>
    <rPh sb="0" eb="6">
      <t>ろうどう</t>
    </rPh>
    <phoneticPr fontId="3" type="noConversion"/>
  </si>
  <si>
    <t>休憩時間基準</t>
    <rPh sb="0" eb="4">
      <t>きゅうけい</t>
    </rPh>
    <rPh sb="4" eb="6">
      <t>きじゅn</t>
    </rPh>
    <phoneticPr fontId="3" type="noConversion"/>
  </si>
  <si>
    <t>月初日</t>
    <phoneticPr fontId="3" type="noConversion"/>
  </si>
  <si>
    <t>月末日</t>
    <phoneticPr fontId="3" type="noConversion"/>
  </si>
  <si>
    <t>予定労働時間</t>
    <rPh sb="0" eb="2">
      <t>よてい</t>
    </rPh>
    <phoneticPr fontId="3" type="noConversion"/>
  </si>
  <si>
    <t>労働日数</t>
    <rPh sb="0" eb="2">
      <t>ろうどう</t>
    </rPh>
    <phoneticPr fontId="3" type="noConversion"/>
  </si>
  <si>
    <t>欠勤日数</t>
    <phoneticPr fontId="3" type="noConversion"/>
  </si>
  <si>
    <t>欠勤時間</t>
    <rPh sb="2" eb="4">
      <t>じかn</t>
    </rPh>
    <phoneticPr fontId="3" type="noConversion"/>
  </si>
  <si>
    <t>実際の労働時間</t>
    <phoneticPr fontId="3" type="noConversion"/>
  </si>
  <si>
    <t>時間外労働の累積（現在）</t>
    <phoneticPr fontId="3" type="noConversion"/>
  </si>
  <si>
    <t>病気休暇</t>
    <rPh sb="2" eb="4">
      <t>きゅうか</t>
    </rPh>
    <phoneticPr fontId="3" type="noConversion"/>
  </si>
  <si>
    <t>有給休暇</t>
    <rPh sb="0" eb="4">
      <t>ゆうきゅう</t>
    </rPh>
    <phoneticPr fontId="3" type="noConversion"/>
  </si>
  <si>
    <t>合計</t>
    <rPh sb="0" eb="2">
      <t>ゴウケイ</t>
    </rPh>
    <phoneticPr fontId="16"/>
  </si>
  <si>
    <t>顧客</t>
    <phoneticPr fontId="3" type="noConversion"/>
  </si>
  <si>
    <t>項目</t>
    <rPh sb="0" eb="2">
      <t>こうもく</t>
    </rPh>
    <phoneticPr fontId="3" type="noConversion"/>
  </si>
  <si>
    <t>日付</t>
    <rPh sb="0" eb="2">
      <t>ひづけ</t>
    </rPh>
    <phoneticPr fontId="3" type="noConversion"/>
  </si>
  <si>
    <t>これまでの労働日数</t>
    <rPh sb="5" eb="9">
      <t>ろうどう</t>
    </rPh>
    <phoneticPr fontId="3" type="noConversion"/>
  </si>
  <si>
    <t>報酬発生</t>
    <rPh sb="0" eb="4">
      <t>ほうしゅう</t>
    </rPh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</si>
</sst>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5" formatCode="&quot;¥&quot;#,##0;&quot;¥&quot;\-#,##0"/>
    <numFmt numFmtId="176" formatCode="_-* #,##0.00\ &quot;€&quot;_-;\-* #,##0.00\ &quot;€&quot;_-;_-* &quot;-&quot;??\ &quot;€&quot;_-;_-@_-"/>
    <numFmt numFmtId="177" formatCode="[hh]:mm\ \h"/>
    <numFmt numFmtId="178" formatCode="0\:"/>
    <numFmt numFmtId="179" formatCode="00"/>
    <numFmt numFmtId="180" formatCode="0;\-0;;@"/>
    <numFmt numFmtId="181" formatCode="0.00;\-0.00;;@"/>
    <numFmt numFmtId="182" formatCode="#,#00.00;\-#,#00.00;;@"/>
    <numFmt numFmtId="183" formatCode="#,##0.00;\-#,##0.00;;@"/>
    <numFmt numFmtId="184" formatCode="h:mm;@"/>
    <numFmt numFmtId="185" formatCode="0.00_ ;[Red]\-0.00\ "/>
    <numFmt numFmtId="186" formatCode="dd/mm/yy;@"/>
    <numFmt numFmtId="187" formatCode="yyyy&quot;年&quot;m&quot;月&quot;d&quot;日&quot;;@"/>
    <numFmt numFmtId="188" formatCode="_-[$¥-411]* #,##0_-;\-[$¥-411]* #,##0_-;_-[$¥-411]* &quot;-&quot;_-;_-@_-"/>
    <numFmt numFmtId="189" formatCode="[$¥-411]#,##0;\-[$¥-411]#,##0"/>
  </numFmts>
  <fonts count="18" x14ac:knownFonts="1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10"/>
      <name val="Arial"/>
      <family val="2"/>
    </font>
    <font>
      <sz val="8"/>
      <name val="Yu Gothic"/>
      <family val="2"/>
      <scheme val="minor"/>
    </font>
    <font>
      <b/>
      <sz val="12"/>
      <color theme="0"/>
      <name val="MS PGothic"/>
      <family val="2"/>
      <charset val="128"/>
    </font>
    <font>
      <sz val="12"/>
      <color theme="1"/>
      <name val="MS PGothic"/>
      <family val="2"/>
      <charset val="128"/>
    </font>
    <font>
      <b/>
      <sz val="12"/>
      <color theme="1"/>
      <name val="MS PGothic"/>
      <family val="2"/>
      <charset val="128"/>
    </font>
    <font>
      <b/>
      <sz val="12"/>
      <name val="MS PGothic"/>
      <family val="2"/>
      <charset val="128"/>
    </font>
    <font>
      <b/>
      <sz val="12"/>
      <color rgb="FFEF9D3E"/>
      <name val="MS PGothic"/>
      <family val="2"/>
      <charset val="128"/>
    </font>
    <font>
      <sz val="12"/>
      <name val="MS PGothic"/>
      <family val="2"/>
      <charset val="128"/>
    </font>
    <font>
      <sz val="14"/>
      <color theme="1"/>
      <name val="MS PGothic"/>
      <family val="2"/>
      <charset val="128"/>
    </font>
    <font>
      <b/>
      <sz val="14"/>
      <color theme="0"/>
      <name val="MS PGothic"/>
      <family val="2"/>
      <charset val="128"/>
    </font>
    <font>
      <sz val="14"/>
      <color theme="0" tint="-0.34998626667073579"/>
      <name val="MS PGothic"/>
      <family val="2"/>
      <charset val="128"/>
    </font>
    <font>
      <b/>
      <sz val="14"/>
      <color theme="1"/>
      <name val="MS PGothic"/>
      <family val="2"/>
      <charset val="128"/>
    </font>
    <font>
      <sz val="16"/>
      <color theme="1"/>
      <name val="MS PGothic"/>
      <family val="2"/>
      <charset val="128"/>
    </font>
    <font>
      <sz val="12"/>
      <color rgb="FF000000"/>
      <name val="MS PGothic"/>
      <family val="2"/>
      <charset val="128"/>
    </font>
    <font>
      <sz val="6"/>
      <name val="Yu Gothic"/>
      <family val="3"/>
      <charset val="128"/>
      <scheme val="minor"/>
    </font>
    <font>
      <b/>
      <sz val="12"/>
      <color rgb="FFFFFFFF"/>
      <name val="MS PGothic"/>
      <family val="2"/>
      <charset val="128"/>
    </font>
  </fonts>
  <fills count="9">
    <fill>
      <patternFill patternType="none"/>
    </fill>
    <fill>
      <patternFill patternType="gray125"/>
    </fill>
    <fill>
      <patternFill patternType="solid">
        <fgColor rgb="FF244D8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F9D3E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244D80"/>
        <bgColor rgb="FF244D80"/>
      </patternFill>
    </fill>
    <fill>
      <patternFill patternType="solid">
        <fgColor rgb="FF244D80"/>
        <bgColor rgb="FF000000"/>
      </patternFill>
    </fill>
  </fills>
  <borders count="34">
    <border>
      <left/>
      <right/>
      <top/>
      <bottom/>
      <diagonal/>
    </border>
    <border>
      <left style="dotted">
        <color theme="1" tint="0.499984740745262"/>
      </left>
      <right style="dotted">
        <color theme="1" tint="0.499984740745262"/>
      </right>
      <top style="dotted">
        <color theme="1" tint="0.499984740745262"/>
      </top>
      <bottom style="dotted">
        <color theme="1" tint="0.499984740745262"/>
      </bottom>
      <diagonal/>
    </border>
    <border>
      <left style="dotted">
        <color theme="1" tint="0.499984740745262"/>
      </left>
      <right/>
      <top style="dotted">
        <color theme="1" tint="0.499984740745262"/>
      </top>
      <bottom style="dotted">
        <color theme="1" tint="0.499984740745262"/>
      </bottom>
      <diagonal/>
    </border>
    <border>
      <left style="medium">
        <color rgb="FFEF9D3E"/>
      </left>
      <right/>
      <top/>
      <bottom/>
      <diagonal/>
    </border>
    <border>
      <left/>
      <right style="medium">
        <color rgb="FFEF9D3E"/>
      </right>
      <top/>
      <bottom/>
      <diagonal/>
    </border>
    <border>
      <left style="medium">
        <color rgb="FFEF9D3E"/>
      </left>
      <right style="dotted">
        <color theme="1" tint="0.499984740745262"/>
      </right>
      <top style="dotted">
        <color theme="1" tint="0.499984740745262"/>
      </top>
      <bottom style="dotted">
        <color theme="1" tint="0.499984740745262"/>
      </bottom>
      <diagonal/>
    </border>
    <border>
      <left style="dotted">
        <color theme="1" tint="0.499984740745262"/>
      </left>
      <right style="medium">
        <color rgb="FFEF9D3E"/>
      </right>
      <top style="dotted">
        <color theme="1" tint="0.499984740745262"/>
      </top>
      <bottom style="dotted">
        <color theme="1" tint="0.499984740745262"/>
      </bottom>
      <diagonal/>
    </border>
    <border>
      <left style="medium">
        <color rgb="FFEF9D3E"/>
      </left>
      <right style="dotted">
        <color theme="1" tint="0.499984740745262"/>
      </right>
      <top style="dotted">
        <color theme="1" tint="0.499984740745262"/>
      </top>
      <bottom style="medium">
        <color rgb="FFEF9D3E"/>
      </bottom>
      <diagonal/>
    </border>
    <border>
      <left style="dotted">
        <color theme="1" tint="0.499984740745262"/>
      </left>
      <right style="medium">
        <color rgb="FFEF9D3E"/>
      </right>
      <top style="dotted">
        <color theme="1" tint="0.499984740745262"/>
      </top>
      <bottom style="medium">
        <color rgb="FFEF9D3E"/>
      </bottom>
      <diagonal/>
    </border>
    <border>
      <left/>
      <right/>
      <top/>
      <bottom style="dotted">
        <color theme="1" tint="0.499984740745262"/>
      </bottom>
      <diagonal/>
    </border>
    <border>
      <left style="medium">
        <color rgb="FFEF9D3E"/>
      </left>
      <right/>
      <top/>
      <bottom style="dotted">
        <color theme="1" tint="0.499984740745262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dashed">
        <color theme="4" tint="0.39994506668294322"/>
      </left>
      <right style="dashed">
        <color theme="4" tint="0.39994506668294322"/>
      </right>
      <top style="dashed">
        <color theme="4" tint="0.39994506668294322"/>
      </top>
      <bottom style="dashed">
        <color theme="4" tint="0.39994506668294322"/>
      </bottom>
      <diagonal/>
    </border>
    <border>
      <left style="dashed">
        <color theme="4" tint="0.39994506668294322"/>
      </left>
      <right style="dashed">
        <color theme="4" tint="0.39991454817346722"/>
      </right>
      <top style="dashed">
        <color theme="4" tint="0.39994506668294322"/>
      </top>
      <bottom style="dashed">
        <color theme="4" tint="0.39994506668294322"/>
      </bottom>
      <diagonal/>
    </border>
    <border>
      <left style="dashed">
        <color theme="4" tint="0.39991454817346722"/>
      </left>
      <right style="dashed">
        <color theme="4" tint="0.39991454817346722"/>
      </right>
      <top style="dashed">
        <color theme="4" tint="0.39994506668294322"/>
      </top>
      <bottom style="dashed">
        <color theme="4" tint="0.39994506668294322"/>
      </bottom>
      <diagonal/>
    </border>
    <border>
      <left style="dashed">
        <color theme="4" tint="0.39991454817346722"/>
      </left>
      <right style="dashed">
        <color theme="4" tint="0.39994506668294322"/>
      </right>
      <top style="dashed">
        <color theme="4" tint="0.39994506668294322"/>
      </top>
      <bottom style="dashed">
        <color theme="4" tint="0.39994506668294322"/>
      </bottom>
      <diagonal/>
    </border>
    <border>
      <left/>
      <right style="dashed">
        <color theme="4" tint="0.39991454817346722"/>
      </right>
      <top style="dashed">
        <color theme="4" tint="0.39994506668294322"/>
      </top>
      <bottom style="dashed">
        <color theme="4" tint="0.39994506668294322"/>
      </bottom>
      <diagonal/>
    </border>
    <border>
      <left style="medium">
        <color rgb="FFEF9D3E"/>
      </left>
      <right/>
      <top style="medium">
        <color rgb="FFEF9D3E"/>
      </top>
      <bottom style="dotted">
        <color theme="1" tint="0.499984740745262"/>
      </bottom>
      <diagonal/>
    </border>
    <border>
      <left/>
      <right style="medium">
        <color rgb="FFEF9D3E"/>
      </right>
      <top style="medium">
        <color rgb="FFEF9D3E"/>
      </top>
      <bottom style="dotted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dashed">
        <color theme="4" tint="0.39994506668294322"/>
      </left>
      <right/>
      <top style="dashed">
        <color theme="4" tint="0.39994506668294322"/>
      </top>
      <bottom style="dashed">
        <color theme="4" tint="0.39994506668294322"/>
      </bottom>
      <diagonal/>
    </border>
    <border>
      <left style="dashed">
        <color theme="4" tint="0.39994506668294322"/>
      </left>
      <right style="dashed">
        <color theme="4" tint="0.39991454817346722"/>
      </right>
      <top style="dashed">
        <color theme="4" tint="0.39994506668294322"/>
      </top>
      <bottom/>
      <diagonal/>
    </border>
    <border>
      <left style="hair">
        <color theme="1" tint="0.499984740745262"/>
      </left>
      <right/>
      <top/>
      <bottom/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/>
      <right style="dashed">
        <color theme="4" tint="0.39991454817346722"/>
      </right>
      <top style="thin">
        <color theme="4" tint="0.39997558519241921"/>
      </top>
      <bottom/>
      <diagonal/>
    </border>
    <border>
      <left/>
      <right style="dotted">
        <color theme="1" tint="0.499984740745262"/>
      </right>
      <top style="dotted">
        <color theme="1" tint="0.499984740745262"/>
      </top>
      <bottom style="dotted">
        <color theme="1" tint="0.499984740745262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dashed">
        <color theme="4" tint="0.39991454817346722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8EAADB"/>
      </left>
      <right/>
      <top style="thin">
        <color rgb="FF8EAADB"/>
      </top>
      <bottom/>
      <diagonal/>
    </border>
    <border>
      <left/>
      <right/>
      <top style="thin">
        <color rgb="FF8EAADB"/>
      </top>
      <bottom/>
      <diagonal/>
    </border>
    <border>
      <left style="thin">
        <color rgb="FF9BC2E6"/>
      </left>
      <right/>
      <top style="thin">
        <color rgb="FF9BC2E6"/>
      </top>
      <bottom/>
      <diagonal/>
    </border>
  </borders>
  <cellStyleXfs count="3">
    <xf numFmtId="0" fontId="0" fillId="0" borderId="0"/>
    <xf numFmtId="176" fontId="1" fillId="0" borderId="0" applyFont="0" applyFill="0" applyBorder="0" applyAlignment="0" applyProtection="0"/>
    <xf numFmtId="0" fontId="2" fillId="0" borderId="0"/>
  </cellStyleXfs>
  <cellXfs count="104">
    <xf numFmtId="0" fontId="0" fillId="0" borderId="0" xfId="0"/>
    <xf numFmtId="0" fontId="4" fillId="2" borderId="12" xfId="0" applyFont="1" applyFill="1" applyBorder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14" fontId="5" fillId="0" borderId="0" xfId="0" applyNumberFormat="1" applyFont="1"/>
    <xf numFmtId="184" fontId="5" fillId="0" borderId="0" xfId="0" applyNumberFormat="1" applyFont="1"/>
    <xf numFmtId="0" fontId="6" fillId="0" borderId="0" xfId="0" applyFont="1"/>
    <xf numFmtId="0" fontId="6" fillId="0" borderId="0" xfId="0" applyFont="1" applyAlignment="1">
      <alignment horizontal="center"/>
    </xf>
    <xf numFmtId="176" fontId="6" fillId="0" borderId="0" xfId="1" applyFont="1"/>
    <xf numFmtId="184" fontId="6" fillId="0" borderId="0" xfId="0" applyNumberFormat="1" applyFont="1"/>
    <xf numFmtId="0" fontId="8" fillId="4" borderId="0" xfId="2" applyFont="1" applyFill="1" applyAlignment="1">
      <alignment horizontal="center" vertical="top"/>
    </xf>
    <xf numFmtId="0" fontId="7" fillId="4" borderId="9" xfId="2" applyFont="1" applyFill="1" applyBorder="1" applyAlignment="1">
      <alignment horizontal="center" vertical="top"/>
    </xf>
    <xf numFmtId="0" fontId="6" fillId="0" borderId="3" xfId="0" applyFont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0" fontId="7" fillId="4" borderId="10" xfId="2" applyFont="1" applyFill="1" applyBorder="1" applyAlignment="1">
      <alignment horizontal="center" vertical="top"/>
    </xf>
    <xf numFmtId="0" fontId="7" fillId="4" borderId="0" xfId="2" applyFont="1" applyFill="1" applyAlignment="1">
      <alignment horizontal="left" vertical="top" wrapText="1"/>
    </xf>
    <xf numFmtId="0" fontId="7" fillId="4" borderId="0" xfId="2" applyFont="1" applyFill="1" applyAlignment="1">
      <alignment horizontal="center" vertical="top"/>
    </xf>
    <xf numFmtId="184" fontId="7" fillId="4" borderId="0" xfId="2" applyNumberFormat="1" applyFont="1" applyFill="1" applyAlignment="1">
      <alignment horizontal="center" vertical="top"/>
    </xf>
    <xf numFmtId="0" fontId="6" fillId="0" borderId="0" xfId="0" applyFont="1" applyAlignment="1">
      <alignment horizontal="center" vertical="top"/>
    </xf>
    <xf numFmtId="14" fontId="5" fillId="3" borderId="2" xfId="0" applyNumberFormat="1" applyFont="1" applyFill="1" applyBorder="1" applyAlignment="1">
      <alignment vertical="center"/>
    </xf>
    <xf numFmtId="178" fontId="9" fillId="0" borderId="5" xfId="0" applyNumberFormat="1" applyFont="1" applyBorder="1" applyAlignment="1">
      <alignment vertical="center"/>
    </xf>
    <xf numFmtId="179" fontId="9" fillId="0" borderId="6" xfId="0" applyNumberFormat="1" applyFont="1" applyBorder="1" applyAlignment="1">
      <alignment horizontal="left" vertical="center"/>
    </xf>
    <xf numFmtId="185" fontId="9" fillId="3" borderId="5" xfId="0" applyNumberFormat="1" applyFont="1" applyFill="1" applyBorder="1" applyAlignment="1">
      <alignment horizontal="center" vertical="center"/>
    </xf>
    <xf numFmtId="2" fontId="9" fillId="3" borderId="28" xfId="0" applyNumberFormat="1" applyFont="1" applyFill="1" applyBorder="1" applyAlignment="1">
      <alignment horizontal="center" vertical="center"/>
    </xf>
    <xf numFmtId="177" fontId="9" fillId="0" borderId="1" xfId="0" applyNumberFormat="1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1" xfId="0" applyFont="1" applyBorder="1" applyAlignment="1">
      <alignment vertical="center" wrapText="1"/>
    </xf>
    <xf numFmtId="0" fontId="9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vertical="center"/>
    </xf>
    <xf numFmtId="184" fontId="9" fillId="3" borderId="0" xfId="0" applyNumberFormat="1" applyFont="1" applyFill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14" fontId="5" fillId="0" borderId="2" xfId="0" applyNumberFormat="1" applyFont="1" applyBorder="1" applyAlignment="1">
      <alignment vertical="center"/>
    </xf>
    <xf numFmtId="178" fontId="9" fillId="0" borderId="7" xfId="0" applyNumberFormat="1" applyFont="1" applyBorder="1" applyAlignment="1">
      <alignment vertical="center"/>
    </xf>
    <xf numFmtId="179" fontId="9" fillId="0" borderId="8" xfId="0" applyNumberFormat="1" applyFont="1" applyBorder="1" applyAlignment="1">
      <alignment horizontal="left" vertical="center"/>
    </xf>
    <xf numFmtId="0" fontId="5" fillId="0" borderId="0" xfId="0" applyFont="1" applyAlignment="1">
      <alignment horizontal="right"/>
    </xf>
    <xf numFmtId="2" fontId="6" fillId="0" borderId="0" xfId="1" applyNumberFormat="1" applyFont="1"/>
    <xf numFmtId="2" fontId="5" fillId="0" borderId="0" xfId="0" applyNumberFormat="1" applyFont="1"/>
    <xf numFmtId="0" fontId="4" fillId="2" borderId="11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0" fontId="5" fillId="5" borderId="17" xfId="0" applyFont="1" applyFill="1" applyBorder="1"/>
    <xf numFmtId="0" fontId="5" fillId="5" borderId="0" xfId="0" applyFont="1" applyFill="1"/>
    <xf numFmtId="0" fontId="5" fillId="5" borderId="16" xfId="0" applyFont="1" applyFill="1" applyBorder="1"/>
    <xf numFmtId="0" fontId="5" fillId="5" borderId="19" xfId="0" applyFont="1" applyFill="1" applyBorder="1"/>
    <xf numFmtId="0" fontId="5" fillId="5" borderId="15" xfId="0" applyFont="1" applyFill="1" applyBorder="1"/>
    <xf numFmtId="0" fontId="5" fillId="5" borderId="23" xfId="0" applyFont="1" applyFill="1" applyBorder="1" applyAlignment="1">
      <alignment vertical="center"/>
    </xf>
    <xf numFmtId="0" fontId="10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right" vertical="top"/>
    </xf>
    <xf numFmtId="186" fontId="10" fillId="6" borderId="0" xfId="0" applyNumberFormat="1" applyFont="1" applyFill="1" applyAlignment="1">
      <alignment horizontal="left" vertical="top"/>
    </xf>
    <xf numFmtId="0" fontId="10" fillId="0" borderId="0" xfId="0" applyFont="1" applyAlignment="1">
      <alignment vertical="top"/>
    </xf>
    <xf numFmtId="0" fontId="10" fillId="6" borderId="0" xfId="0" applyFont="1" applyFill="1" applyAlignment="1">
      <alignment horizontal="left" vertical="top"/>
    </xf>
    <xf numFmtId="0" fontId="10" fillId="0" borderId="0" xfId="0" applyFont="1" applyAlignment="1">
      <alignment vertical="top" wrapText="1"/>
    </xf>
    <xf numFmtId="0" fontId="10" fillId="5" borderId="24" xfId="0" applyFont="1" applyFill="1" applyBorder="1" applyAlignment="1">
      <alignment horizontal="center" vertical="top" wrapText="1"/>
    </xf>
    <xf numFmtId="0" fontId="11" fillId="2" borderId="11" xfId="0" applyFont="1" applyFill="1" applyBorder="1" applyAlignment="1">
      <alignment horizontal="center" vertical="top" wrapText="1"/>
    </xf>
    <xf numFmtId="0" fontId="10" fillId="5" borderId="23" xfId="0" applyFont="1" applyFill="1" applyBorder="1" applyAlignment="1">
      <alignment vertical="center"/>
    </xf>
    <xf numFmtId="14" fontId="12" fillId="0" borderId="22" xfId="0" applyNumberFormat="1" applyFont="1" applyBorder="1" applyAlignment="1">
      <alignment horizontal="center"/>
    </xf>
    <xf numFmtId="0" fontId="12" fillId="0" borderId="22" xfId="0" applyFont="1" applyBorder="1" applyAlignment="1">
      <alignment horizontal="center"/>
    </xf>
    <xf numFmtId="180" fontId="12" fillId="0" borderId="22" xfId="0" applyNumberFormat="1" applyFont="1" applyBorder="1" applyAlignment="1">
      <alignment horizontal="center"/>
    </xf>
    <xf numFmtId="2" fontId="10" fillId="0" borderId="22" xfId="0" applyNumberFormat="1" applyFont="1" applyBorder="1" applyAlignment="1">
      <alignment vertical="top"/>
    </xf>
    <xf numFmtId="181" fontId="10" fillId="0" borderId="22" xfId="0" applyNumberFormat="1" applyFont="1" applyBorder="1" applyAlignment="1">
      <alignment vertical="top"/>
    </xf>
    <xf numFmtId="182" fontId="10" fillId="0" borderId="22" xfId="0" applyNumberFormat="1" applyFont="1" applyBorder="1" applyAlignment="1">
      <alignment vertical="top"/>
    </xf>
    <xf numFmtId="180" fontId="10" fillId="0" borderId="22" xfId="0" applyNumberFormat="1" applyFont="1" applyBorder="1" applyAlignment="1">
      <alignment vertical="top"/>
    </xf>
    <xf numFmtId="180" fontId="10" fillId="0" borderId="25" xfId="0" applyNumberFormat="1" applyFont="1" applyBorder="1" applyAlignment="1">
      <alignment vertical="top"/>
    </xf>
    <xf numFmtId="0" fontId="10" fillId="0" borderId="22" xfId="0" applyFont="1" applyBorder="1" applyAlignment="1">
      <alignment vertical="top"/>
    </xf>
    <xf numFmtId="0" fontId="13" fillId="5" borderId="0" xfId="0" applyFont="1" applyFill="1"/>
    <xf numFmtId="3" fontId="13" fillId="5" borderId="22" xfId="0" applyNumberFormat="1" applyFont="1" applyFill="1" applyBorder="1" applyAlignment="1">
      <alignment horizontal="center"/>
    </xf>
    <xf numFmtId="4" fontId="13" fillId="5" borderId="22" xfId="0" applyNumberFormat="1" applyFont="1" applyFill="1" applyBorder="1" applyAlignment="1">
      <alignment vertical="top"/>
    </xf>
    <xf numFmtId="3" fontId="13" fillId="5" borderId="22" xfId="0" applyNumberFormat="1" applyFont="1" applyFill="1" applyBorder="1" applyAlignment="1">
      <alignment vertical="top"/>
    </xf>
    <xf numFmtId="180" fontId="13" fillId="5" borderId="26" xfId="0" applyNumberFormat="1" applyFont="1" applyFill="1" applyBorder="1" applyAlignment="1">
      <alignment vertical="top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7" fillId="4" borderId="0" xfId="2" applyFont="1" applyFill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5" fillId="5" borderId="16" xfId="0" applyFont="1" applyFill="1" applyBorder="1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4" fillId="7" borderId="31" xfId="0" applyFont="1" applyFill="1" applyBorder="1" applyAlignment="1">
      <alignment horizontal="center"/>
    </xf>
    <xf numFmtId="0" fontId="4" fillId="7" borderId="32" xfId="0" applyFont="1" applyFill="1" applyBorder="1" applyAlignment="1">
      <alignment horizontal="center"/>
    </xf>
    <xf numFmtId="187" fontId="10" fillId="5" borderId="19" xfId="0" applyNumberFormat="1" applyFont="1" applyFill="1" applyBorder="1"/>
    <xf numFmtId="0" fontId="10" fillId="5" borderId="19" xfId="0" applyFont="1" applyFill="1" applyBorder="1"/>
    <xf numFmtId="187" fontId="5" fillId="0" borderId="0" xfId="0" applyNumberFormat="1" applyFont="1" applyAlignment="1">
      <alignment horizontal="right"/>
    </xf>
    <xf numFmtId="187" fontId="5" fillId="0" borderId="0" xfId="0" applyNumberFormat="1" applyFont="1"/>
    <xf numFmtId="187" fontId="15" fillId="0" borderId="0" xfId="0" applyNumberFormat="1" applyFont="1"/>
    <xf numFmtId="0" fontId="5" fillId="5" borderId="16" xfId="0" applyFont="1" applyFill="1" applyBorder="1" applyAlignment="1">
      <alignment wrapText="1"/>
    </xf>
    <xf numFmtId="0" fontId="5" fillId="5" borderId="17" xfId="0" applyFont="1" applyFill="1" applyBorder="1" applyAlignment="1">
      <alignment horizontal="center"/>
    </xf>
    <xf numFmtId="188" fontId="5" fillId="5" borderId="18" xfId="1" applyNumberFormat="1" applyFont="1" applyFill="1" applyBorder="1"/>
    <xf numFmtId="189" fontId="9" fillId="3" borderId="1" xfId="0" applyNumberFormat="1" applyFont="1" applyFill="1" applyBorder="1" applyAlignment="1">
      <alignment vertical="center"/>
    </xf>
    <xf numFmtId="5" fontId="9" fillId="3" borderId="1" xfId="0" applyNumberFormat="1" applyFont="1" applyFill="1" applyBorder="1" applyAlignment="1">
      <alignment vertical="center"/>
    </xf>
    <xf numFmtId="5" fontId="6" fillId="0" borderId="0" xfId="1" applyNumberFormat="1" applyFont="1"/>
    <xf numFmtId="5" fontId="5" fillId="0" borderId="0" xfId="1" applyNumberFormat="1" applyFont="1" applyAlignment="1">
      <alignment vertical="center"/>
    </xf>
    <xf numFmtId="5" fontId="5" fillId="5" borderId="16" xfId="1" applyNumberFormat="1" applyFont="1" applyFill="1" applyBorder="1" applyAlignment="1">
      <alignment vertical="center"/>
    </xf>
    <xf numFmtId="5" fontId="4" fillId="2" borderId="11" xfId="1" applyNumberFormat="1" applyFont="1" applyFill="1" applyBorder="1" applyAlignment="1">
      <alignment horizontal="right" vertical="center"/>
    </xf>
    <xf numFmtId="0" fontId="17" fillId="8" borderId="33" xfId="0" applyFont="1" applyFill="1" applyBorder="1" applyAlignment="1">
      <alignment horizontal="center" vertical="center"/>
    </xf>
    <xf numFmtId="183" fontId="5" fillId="0" borderId="0" xfId="0" applyNumberFormat="1" applyFont="1" applyAlignment="1">
      <alignment vertical="center"/>
    </xf>
    <xf numFmtId="2" fontId="5" fillId="5" borderId="16" xfId="0" applyNumberFormat="1" applyFont="1" applyFill="1" applyBorder="1" applyAlignment="1">
      <alignment vertical="center"/>
    </xf>
    <xf numFmtId="2" fontId="4" fillId="2" borderId="11" xfId="1" applyNumberFormat="1" applyFont="1" applyFill="1" applyBorder="1" applyAlignment="1">
      <alignment horizontal="right" vertical="center"/>
    </xf>
    <xf numFmtId="0" fontId="4" fillId="2" borderId="29" xfId="0" applyFont="1" applyFill="1" applyBorder="1" applyAlignment="1">
      <alignment horizontal="center"/>
    </xf>
    <xf numFmtId="0" fontId="4" fillId="2" borderId="30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4" fillId="2" borderId="27" xfId="0" applyFont="1" applyFill="1" applyBorder="1" applyAlignment="1">
      <alignment horizontal="center"/>
    </xf>
    <xf numFmtId="0" fontId="7" fillId="4" borderId="20" xfId="2" applyFont="1" applyFill="1" applyBorder="1" applyAlignment="1">
      <alignment horizontal="center"/>
    </xf>
    <xf numFmtId="0" fontId="7" fillId="4" borderId="21" xfId="2" applyFont="1" applyFill="1" applyBorder="1" applyAlignment="1">
      <alignment horizontal="center"/>
    </xf>
  </cellXfs>
  <cellStyles count="3">
    <cellStyle name="Standard 2" xfId="2" xr:uid="{B25A70CD-96EC-44BC-817F-6F720581B963}"/>
    <cellStyle name="通貨 [0.00]" xfId="1" builtinId="4"/>
    <cellStyle name="標準" xfId="0" builtinId="0"/>
  </cellStyles>
  <dxfs count="25">
    <dxf>
      <fill>
        <patternFill>
          <bgColor theme="0" tint="-0.149967955565050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S PGothic"/>
        <family val="2"/>
        <charset val="128"/>
        <scheme val="none"/>
      </font>
      <numFmt numFmtId="184" formatCode="h:mm;@"/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S PGothic"/>
        <family val="2"/>
        <charset val="128"/>
        <scheme val="none"/>
      </font>
      <numFmt numFmtId="184" formatCode="h:mm;@"/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S PGothic"/>
        <family val="2"/>
        <charset val="128"/>
        <scheme val="none"/>
      </font>
      <numFmt numFmtId="184" formatCode="h:mm;@"/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S PGothic"/>
        <family val="2"/>
        <charset val="128"/>
        <scheme val="none"/>
      </font>
      <numFmt numFmtId="184" formatCode="h:mm;@"/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S PGothic"/>
        <family val="2"/>
        <charset val="128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 outline="0">
        <left style="dotted">
          <color theme="1" tint="0.499984740745262"/>
        </left>
        <right style="dotted">
          <color theme="1" tint="0.499984740745262"/>
        </right>
        <top style="dotted">
          <color theme="1" tint="0.499984740745262"/>
        </top>
        <bottom style="dotted">
          <color theme="1" tint="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S PGothic"/>
        <family val="2"/>
        <charset val="128"/>
        <scheme val="none"/>
      </font>
      <numFmt numFmtId="9" formatCode="&quot;¥&quot;#,##0;&quot;¥&quot;\-#,##0"/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theme="1" tint="0.499984740745262"/>
        </left>
        <right/>
        <top style="dotted">
          <color theme="1" tint="0.499984740745262"/>
        </top>
        <bottom style="dotted">
          <color theme="1" tint="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S PGothic"/>
        <family val="2"/>
        <charset val="128"/>
        <scheme val="none"/>
      </font>
      <numFmt numFmtId="189" formatCode="[$¥-411]#,##0;\-[$¥-411]#,##0"/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theme="1" tint="0.499984740745262"/>
        </left>
        <right style="dotted">
          <color theme="1" tint="0.499984740745262"/>
        </right>
        <top style="dotted">
          <color theme="1" tint="0.499984740745262"/>
        </top>
        <bottom style="dotted">
          <color theme="1" tint="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S PGothic"/>
        <family val="2"/>
        <charset val="128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dotted">
          <color theme="1" tint="0.499984740745262"/>
        </left>
        <right style="dotted">
          <color theme="1" tint="0.499984740745262"/>
        </right>
        <top style="dotted">
          <color theme="1" tint="0.499984740745262"/>
        </top>
        <bottom style="dotted">
          <color theme="1" tint="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S PGothic"/>
        <family val="2"/>
        <charset val="128"/>
        <scheme val="none"/>
      </font>
      <alignment horizontal="general" vertical="center" textRotation="0" wrapText="1" indent="0" justifyLastLine="0" shrinkToFit="0" readingOrder="0"/>
      <border diagonalUp="0" diagonalDown="0" outline="0">
        <left style="dotted">
          <color theme="1" tint="0.499984740745262"/>
        </left>
        <right style="dotted">
          <color theme="1" tint="0.499984740745262"/>
        </right>
        <top style="dotted">
          <color theme="1" tint="0.499984740745262"/>
        </top>
        <bottom style="dotted">
          <color theme="1" tint="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S PGothic"/>
        <family val="2"/>
        <charset val="128"/>
        <scheme val="none"/>
      </font>
      <alignment horizontal="general" vertical="center" textRotation="0" wrapText="0" indent="0" justifyLastLine="0" shrinkToFit="0" readingOrder="0"/>
      <border diagonalUp="0" diagonalDown="0" outline="0">
        <left style="dotted">
          <color theme="1" tint="0.499984740745262"/>
        </left>
        <right style="dotted">
          <color theme="1" tint="0.499984740745262"/>
        </right>
        <top style="dotted">
          <color theme="1" tint="0.499984740745262"/>
        </top>
        <bottom style="dotted">
          <color theme="1" tint="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S PGothic"/>
        <family val="2"/>
        <charset val="128"/>
        <scheme val="none"/>
      </font>
      <numFmt numFmtId="177" formatCode="[hh]:mm\ \h"/>
      <alignment horizontal="general" vertical="center" textRotation="0" wrapText="0" indent="0" justifyLastLine="0" shrinkToFit="0" readingOrder="0"/>
      <border diagonalUp="0" diagonalDown="0" outline="0">
        <left style="dotted">
          <color theme="1" tint="0.499984740745262"/>
        </left>
        <right style="dotted">
          <color theme="1" tint="0.499984740745262"/>
        </right>
        <top style="dotted">
          <color theme="1" tint="0.499984740745262"/>
        </top>
        <bottom style="dotted">
          <color theme="1" tint="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S PGothic"/>
        <family val="2"/>
        <charset val="128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dotted">
          <color theme="1" tint="0.499984740745262"/>
        </right>
        <top style="dotted">
          <color theme="1" tint="0.499984740745262"/>
        </top>
        <bottom style="dotted">
          <color theme="1" tint="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S PGothic"/>
        <family val="2"/>
        <charset val="128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dotted">
          <color theme="1" tint="0.499984740745262"/>
        </top>
        <bottom style="dotted">
          <color theme="1" tint="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S PGothic"/>
        <family val="2"/>
        <charset val="128"/>
        <scheme val="none"/>
      </font>
      <numFmt numFmtId="185" formatCode="0.00_ ;[Red]\-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EF9D3E"/>
        </left>
        <right/>
        <top style="dotted">
          <color theme="1" tint="0.499984740745262"/>
        </top>
        <bottom style="dotted">
          <color theme="1" tint="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S PGothic"/>
        <family val="2"/>
        <charset val="128"/>
        <scheme val="none"/>
      </font>
      <numFmt numFmtId="179" formatCode="00"/>
      <alignment horizontal="left" vertical="center" textRotation="0" wrapText="0" indent="0" justifyLastLine="0" shrinkToFit="0" readingOrder="0"/>
      <border diagonalUp="0" diagonalDown="0" outline="0">
        <left style="dotted">
          <color theme="1" tint="0.499984740745262"/>
        </left>
        <right style="medium">
          <color rgb="FFEF9D3E"/>
        </right>
        <top style="dotted">
          <color theme="1" tint="0.499984740745262"/>
        </top>
        <bottom style="dotted">
          <color theme="1" tint="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S PGothic"/>
        <family val="2"/>
        <charset val="128"/>
        <scheme val="none"/>
      </font>
      <numFmt numFmtId="178" formatCode="0\:"/>
      <alignment horizontal="general" vertical="center" textRotation="0" wrapText="0" indent="0" justifyLastLine="0" shrinkToFit="0" readingOrder="0"/>
      <border diagonalUp="0" diagonalDown="0" outline="0">
        <left style="medium">
          <color rgb="FFEF9D3E"/>
        </left>
        <right style="dotted">
          <color theme="1" tint="0.499984740745262"/>
        </right>
        <top style="dotted">
          <color theme="1" tint="0.499984740745262"/>
        </top>
        <bottom style="dotted">
          <color theme="1" tint="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S PGothic"/>
        <family val="2"/>
        <charset val="128"/>
        <scheme val="none"/>
      </font>
      <numFmt numFmtId="179" formatCode="00"/>
      <alignment horizontal="left" vertical="center" textRotation="0" wrapText="0" indent="0" justifyLastLine="0" shrinkToFit="0" readingOrder="0"/>
      <border diagonalUp="0" diagonalDown="0" outline="0">
        <left style="dotted">
          <color theme="1" tint="0.499984740745262"/>
        </left>
        <right style="medium">
          <color rgb="FFEF9D3E"/>
        </right>
        <top style="dotted">
          <color theme="1" tint="0.499984740745262"/>
        </top>
        <bottom style="dotted">
          <color theme="1" tint="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S PGothic"/>
        <family val="2"/>
        <charset val="128"/>
        <scheme val="none"/>
      </font>
      <numFmt numFmtId="178" formatCode="0\:"/>
      <alignment horizontal="general" vertical="center" textRotation="0" wrapText="0" indent="0" justifyLastLine="0" shrinkToFit="0" readingOrder="0"/>
      <border diagonalUp="0" diagonalDown="0" outline="0">
        <left style="medium">
          <color rgb="FFEF9D3E"/>
        </left>
        <right style="dotted">
          <color theme="1" tint="0.499984740745262"/>
        </right>
        <top style="dotted">
          <color theme="1" tint="0.499984740745262"/>
        </top>
        <bottom style="dotted">
          <color theme="1" tint="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S PGothic"/>
        <family val="2"/>
        <charset val="128"/>
        <scheme val="none"/>
      </font>
      <numFmt numFmtId="190" formatCode="dd/mm/yyyy"/>
      <alignment horizontal="general" vertical="center" textRotation="0" wrapText="0" indent="0" justifyLastLine="0" shrinkToFit="0" readingOrder="0"/>
      <border diagonalUp="0" diagonalDown="0" outline="0">
        <left style="dotted">
          <color theme="1" tint="0.499984740745262"/>
        </left>
        <right/>
        <top style="dotted">
          <color theme="1" tint="0.499984740745262"/>
        </top>
        <bottom style="dotted">
          <color theme="1" tint="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S PGothic"/>
        <family val="2"/>
        <charset val="128"/>
        <scheme val="none"/>
      </font>
      <numFmt numFmtId="191" formatCode="d/m/yy"/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theme="1" tint="0.499984740745262"/>
        </left>
        <right/>
        <top style="dotted">
          <color theme="1" tint="0.499984740745262"/>
        </top>
        <bottom style="dotted">
          <color theme="1" tint="0.499984740745262"/>
        </bottom>
      </border>
    </dxf>
    <dxf>
      <font>
        <strike val="0"/>
        <outline val="0"/>
        <shadow val="0"/>
        <u val="none"/>
        <vertAlign val="baseline"/>
        <sz val="12"/>
        <name val="MS PGothic"/>
        <family val="2"/>
        <charset val="12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MS PGothic"/>
        <family val="2"/>
        <charset val="128"/>
        <scheme val="none"/>
      </font>
      <fill>
        <patternFill patternType="solid">
          <fgColor indexed="64"/>
          <bgColor rgb="FFEF9D3E"/>
        </patternFill>
      </fill>
      <alignment horizontal="center" vertical="top" textRotation="0" wrapText="0" indent="0" justifyLastLine="0" shrinkToFit="0" readingOrder="0"/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EF9D3E"/>
      <color rgb="FF244D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microsoft.com/office/2007/relationships/slicerCache" Target="slicerCaches/slicerCache2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毎月の労働時間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'【レポート】項目別　労働時間'!$A$4</c:f>
              <c:strCache>
                <c:ptCount val="1"/>
                <c:pt idx="0">
                  <c:v>内部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'【レポート】項目別　労働時間'!$B$3:$M$3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'【レポート】項目別　労働時間'!$B$4:$M$4</c:f>
              <c:numCache>
                <c:formatCode>#,##0.00;\-#,##0.00;;@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F4-4D2A-9CA8-32AA1E9B0AE6}"/>
            </c:ext>
          </c:extLst>
        </c:ser>
        <c:ser>
          <c:idx val="1"/>
          <c:order val="1"/>
          <c:tx>
            <c:strRef>
              <c:f>'【レポート】項目別　労働時間'!$A$5</c:f>
              <c:strCache>
                <c:ptCount val="1"/>
                <c:pt idx="0">
                  <c:v>営業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'【レポート】項目別　労働時間'!$B$3:$M$3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'【レポート】項目別　労働時間'!$B$5:$M$5</c:f>
              <c:numCache>
                <c:formatCode>#,##0.00;\-#,##0.00;;@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F4-4D2A-9CA8-32AA1E9B0AE6}"/>
            </c:ext>
          </c:extLst>
        </c:ser>
        <c:ser>
          <c:idx val="2"/>
          <c:order val="2"/>
          <c:tx>
            <c:strRef>
              <c:f>'【レポート】項目別　労働時間'!$A$6</c:f>
              <c:strCache>
                <c:ptCount val="1"/>
                <c:pt idx="0">
                  <c:v>連携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'【レポート】項目別　労働時間'!$B$3:$M$3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'【レポート】項目別　労働時間'!$B$6:$M$6</c:f>
              <c:numCache>
                <c:formatCode>#,##0.00;\-#,##0.00;;@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F4-4D2A-9CA8-32AA1E9B0AE6}"/>
            </c:ext>
          </c:extLst>
        </c:ser>
        <c:ser>
          <c:idx val="3"/>
          <c:order val="3"/>
          <c:tx>
            <c:strRef>
              <c:f>'【レポート】項目別　労働時間'!$A$7</c:f>
              <c:strCache>
                <c:ptCount val="1"/>
                <c:pt idx="0">
                  <c:v>プロジェクトA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'【レポート】項目別　労働時間'!$B$3:$M$3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'【レポート】項目別　労働時間'!$B$7:$M$7</c:f>
              <c:numCache>
                <c:formatCode>#,##0.00;\-#,##0.00;;@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40</c:v>
                </c:pt>
                <c:pt idx="4">
                  <c:v>16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F4-4D2A-9CA8-32AA1E9B0AE6}"/>
            </c:ext>
          </c:extLst>
        </c:ser>
        <c:ser>
          <c:idx val="4"/>
          <c:order val="4"/>
          <c:tx>
            <c:strRef>
              <c:f>'【レポート】項目別　労働時間'!$A$8</c:f>
              <c:strCache>
                <c:ptCount val="1"/>
                <c:pt idx="0">
                  <c:v>プロジェクトB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'【レポート】項目別　労働時間'!$B$3:$M$3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'【レポート】項目別　労働時間'!$B$8:$M$8</c:f>
              <c:numCache>
                <c:formatCode>#,##0.00;\-#,##0.00;;@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FF4-4D2A-9CA8-32AA1E9B0AE6}"/>
            </c:ext>
          </c:extLst>
        </c:ser>
        <c:ser>
          <c:idx val="5"/>
          <c:order val="5"/>
          <c:tx>
            <c:strRef>
              <c:f>'【レポート】項目別　労働時間'!$A$9</c:f>
              <c:strCache>
                <c:ptCount val="1"/>
                <c:pt idx="0">
                  <c:v>プロジェクトG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'【レポート】項目別　労働時間'!$B$3:$M$3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'【レポート】項目別　労働時間'!$B$9:$M$9</c:f>
              <c:numCache>
                <c:formatCode>#,##0.00;\-#,##0.00;;@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7.5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FF4-4D2A-9CA8-32AA1E9B0AE6}"/>
            </c:ext>
          </c:extLst>
        </c:ser>
        <c:ser>
          <c:idx val="6"/>
          <c:order val="6"/>
          <c:tx>
            <c:strRef>
              <c:f>'【レポート】項目別　労働時間'!$A$10</c:f>
              <c:strCache>
                <c:ptCount val="1"/>
                <c:pt idx="0">
                  <c:v>0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'【レポート】項目別　労働時間'!$B$3:$M$3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'【レポート】項目別　労働時間'!$B$10:$M$10</c:f>
              <c:numCache>
                <c:formatCode>#,##0.00;\-#,##0.00;;@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FF4-4D2A-9CA8-32AA1E9B0AE6}"/>
            </c:ext>
          </c:extLst>
        </c:ser>
        <c:ser>
          <c:idx val="7"/>
          <c:order val="7"/>
          <c:tx>
            <c:strRef>
              <c:f>'【レポート】項目別　労働時間'!$A$11</c:f>
              <c:strCache>
                <c:ptCount val="1"/>
                <c:pt idx="0">
                  <c:v>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'【レポート】項目別　労働時間'!$B$3:$M$3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'【レポート】項目別　労働時間'!$B$11:$M$11</c:f>
              <c:numCache>
                <c:formatCode>#,##0.00;\-#,##0.00;;@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FF4-4D2A-9CA8-32AA1E9B0A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25254072"/>
        <c:axId val="656467368"/>
      </c:barChart>
      <c:catAx>
        <c:axId val="825254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56467368"/>
        <c:crosses val="autoZero"/>
        <c:auto val="1"/>
        <c:lblAlgn val="ctr"/>
        <c:lblOffset val="100"/>
        <c:noMultiLvlLbl val="0"/>
      </c:catAx>
      <c:valAx>
        <c:axId val="656467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;\-#,##0.00;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25254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毎月の給与額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'【レポート】項目別 各月給与'!$A$4</c:f>
              <c:strCache>
                <c:ptCount val="1"/>
                <c:pt idx="0">
                  <c:v>内部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'【レポート】項目別 各月給与'!$B$3:$M$3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'【レポート】項目別 各月給与'!$B$4:$M$4</c:f>
              <c:numCache>
                <c:formatCode>"¥"#,##0_);\("¥"#,##0\)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42-4DC5-A67B-7A9302FD4AE2}"/>
            </c:ext>
          </c:extLst>
        </c:ser>
        <c:ser>
          <c:idx val="1"/>
          <c:order val="1"/>
          <c:tx>
            <c:strRef>
              <c:f>'【レポート】項目別 各月給与'!$A$5</c:f>
              <c:strCache>
                <c:ptCount val="1"/>
                <c:pt idx="0">
                  <c:v>営業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'【レポート】項目別 各月給与'!$B$3:$M$3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'【レポート】項目別 各月給与'!$B$5:$M$5</c:f>
              <c:numCache>
                <c:formatCode>"¥"#,##0_);\("¥"#,##0\)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42-4DC5-A67B-7A9302FD4AE2}"/>
            </c:ext>
          </c:extLst>
        </c:ser>
        <c:ser>
          <c:idx val="2"/>
          <c:order val="2"/>
          <c:tx>
            <c:strRef>
              <c:f>'【レポート】項目別 各月給与'!$A$6</c:f>
              <c:strCache>
                <c:ptCount val="1"/>
                <c:pt idx="0">
                  <c:v>連携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'【レポート】項目別 各月給与'!$B$3:$M$3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'【レポート】項目別 各月給与'!$B$6:$M$6</c:f>
              <c:numCache>
                <c:formatCode>"¥"#,##0_);\("¥"#,##0\)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42-4DC5-A67B-7A9302FD4AE2}"/>
            </c:ext>
          </c:extLst>
        </c:ser>
        <c:ser>
          <c:idx val="3"/>
          <c:order val="3"/>
          <c:tx>
            <c:strRef>
              <c:f>'【レポート】項目別 各月給与'!$A$7</c:f>
              <c:strCache>
                <c:ptCount val="1"/>
                <c:pt idx="0">
                  <c:v>プロジェクトA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'【レポート】項目別 各月給与'!$B$3:$M$3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'【レポート】項目別 各月給与'!$B$7:$M$7</c:f>
              <c:numCache>
                <c:formatCode>"¥"#,##0_);\("¥"#,##0\)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200000</c:v>
                </c:pt>
                <c:pt idx="4">
                  <c:v>80000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42-4DC5-A67B-7A9302FD4AE2}"/>
            </c:ext>
          </c:extLst>
        </c:ser>
        <c:ser>
          <c:idx val="4"/>
          <c:order val="4"/>
          <c:tx>
            <c:strRef>
              <c:f>'【レポート】項目別 各月給与'!$A$8</c:f>
              <c:strCache>
                <c:ptCount val="1"/>
                <c:pt idx="0">
                  <c:v>プロジェクトB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'【レポート】項目別 各月給与'!$B$3:$M$3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'【レポート】項目別 各月給与'!$B$8:$M$8</c:f>
              <c:numCache>
                <c:formatCode>"¥"#,##0_);\("¥"#,##0\)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2000</c:v>
                </c:pt>
                <c:pt idx="4">
                  <c:v>24000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842-4DC5-A67B-7A9302FD4AE2}"/>
            </c:ext>
          </c:extLst>
        </c:ser>
        <c:ser>
          <c:idx val="5"/>
          <c:order val="5"/>
          <c:tx>
            <c:strRef>
              <c:f>'【レポート】項目別 各月給与'!$A$9</c:f>
              <c:strCache>
                <c:ptCount val="1"/>
                <c:pt idx="0">
                  <c:v>プロジェクトG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'【レポート】項目別 各月給与'!$B$3:$M$3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'【レポート】項目別 各月給与'!$B$9:$M$9</c:f>
              <c:numCache>
                <c:formatCode>"¥"#,##0_);\("¥"#,##0\)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22500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842-4DC5-A67B-7A9302FD4AE2}"/>
            </c:ext>
          </c:extLst>
        </c:ser>
        <c:ser>
          <c:idx val="6"/>
          <c:order val="6"/>
          <c:tx>
            <c:strRef>
              <c:f>'【レポート】項目別 各月給与'!$A$10</c:f>
              <c:strCache>
                <c:ptCount val="1"/>
                <c:pt idx="0">
                  <c:v>0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'【レポート】項目別 各月給与'!$B$3:$M$3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'【レポート】項目別 各月給与'!$B$10:$M$10</c:f>
              <c:numCache>
                <c:formatCode>"¥"#,##0_);\("¥"#,##0\)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842-4DC5-A67B-7A9302FD4AE2}"/>
            </c:ext>
          </c:extLst>
        </c:ser>
        <c:ser>
          <c:idx val="7"/>
          <c:order val="7"/>
          <c:tx>
            <c:strRef>
              <c:f>'【レポート】項目別 各月給与'!$A$11</c:f>
              <c:strCache>
                <c:ptCount val="1"/>
                <c:pt idx="0">
                  <c:v>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'【レポート】項目別 各月給与'!$B$3:$M$3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'【レポート】項目別 各月給与'!$B$11:$M$11</c:f>
              <c:numCache>
                <c:formatCode>"¥"#,##0_);\("¥"#,##0\)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842-4DC5-A67B-7A9302FD4A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25254072"/>
        <c:axId val="656467368"/>
      </c:barChart>
      <c:catAx>
        <c:axId val="825254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56467368"/>
        <c:crosses val="autoZero"/>
        <c:auto val="1"/>
        <c:lblAlgn val="ctr"/>
        <c:lblOffset val="100"/>
        <c:noMultiLvlLbl val="0"/>
      </c:catAx>
      <c:valAx>
        <c:axId val="656467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¥&quot;#,##0_);\(&quot;¥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25254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586740</xdr:colOff>
      <xdr:row>26</xdr:row>
      <xdr:rowOff>114300</xdr:rowOff>
    </xdr:from>
    <xdr:to>
      <xdr:col>6</xdr:col>
      <xdr:colOff>53340</xdr:colOff>
      <xdr:row>33</xdr:row>
      <xdr:rowOff>137160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DF8B224D-B9F4-424A-8028-84147DA0936E}"/>
            </a:ext>
          </a:extLst>
        </xdr:cNvPr>
        <xdr:cNvSpPr txBox="1"/>
      </xdr:nvSpPr>
      <xdr:spPr>
        <a:xfrm>
          <a:off x="586740" y="3535680"/>
          <a:ext cx="5151120" cy="1249680"/>
        </a:xfrm>
        <a:prstGeom prst="rect">
          <a:avLst/>
        </a:prstGeom>
        <a:solidFill>
          <a:schemeClr val="lt1"/>
        </a:solidFill>
        <a:ln w="28575" cmpd="sng">
          <a:solidFill>
            <a:srgbClr val="244D8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ja-JP" altLang="en-US" sz="12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このタブでは、従業員に関する基本情報を入力します。</a:t>
          </a:r>
          <a:endParaRPr lang="en-US" altLang="ja-JP" sz="1200" b="0" i="0" u="none" strike="noStrike">
            <a:solidFill>
              <a:schemeClr val="dk1"/>
            </a:solidFill>
            <a:effectLst/>
            <a:latin typeface="MS PGothic" panose="020B0600070205080204" pitchFamily="34" charset="-128"/>
            <a:ea typeface="MS PGothic" panose="020B0600070205080204" pitchFamily="34" charset="-128"/>
            <a:cs typeface="+mn-cs"/>
          </a:endParaRPr>
        </a:p>
        <a:p>
          <a:pPr rtl="0"/>
          <a:r>
            <a:rPr lang="ja-JP" altLang="en-US" sz="12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各年度ごとに</a:t>
          </a:r>
          <a:r>
            <a:rPr lang="en-US" altLang="ja-JP" sz="12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1</a:t>
          </a:r>
          <a:r>
            <a:rPr lang="ja-JP" altLang="en-US" sz="12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つのファイルを使うように設計されています。</a:t>
          </a:r>
        </a:p>
        <a:p>
          <a:pPr rtl="0"/>
          <a:endParaRPr lang="es-ES" altLang="ja-JP" sz="1200" b="0" i="0" u="none" strike="noStrike">
            <a:solidFill>
              <a:schemeClr val="dk1"/>
            </a:solidFill>
            <a:effectLst/>
            <a:latin typeface="MS PGothic" panose="020B0600070205080204" pitchFamily="34" charset="-128"/>
            <a:ea typeface="MS PGothic" panose="020B0600070205080204" pitchFamily="34" charset="-128"/>
            <a:cs typeface="+mn-cs"/>
          </a:endParaRPr>
        </a:p>
        <a:p>
          <a:pPr rtl="0"/>
          <a:r>
            <a:rPr lang="ja-JP" altLang="en-US" sz="12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行を追加する際は、既存の行をコピー＆ペーストしてからデータを入力することをおすすめます。</a:t>
          </a:r>
        </a:p>
      </xdr:txBody>
    </xdr:sp>
    <xdr:clientData/>
  </xdr:twoCellAnchor>
  <xdr:twoCellAnchor editAs="oneCell">
    <xdr:from>
      <xdr:col>0</xdr:col>
      <xdr:colOff>68580</xdr:colOff>
      <xdr:row>0</xdr:row>
      <xdr:rowOff>129540</xdr:rowOff>
    </xdr:from>
    <xdr:to>
      <xdr:col>3</xdr:col>
      <xdr:colOff>411259</xdr:colOff>
      <xdr:row>4</xdr:row>
      <xdr:rowOff>42689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D68D4BD4-5F6F-4672-86E0-C1D2CAC675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80" y="129540"/>
          <a:ext cx="2887759" cy="664989"/>
        </a:xfrm>
        <a:prstGeom prst="rect">
          <a:avLst/>
        </a:prstGeom>
      </xdr:spPr>
    </xdr:pic>
    <xdr:clientData/>
  </xdr:twoCellAnchor>
  <xdr:twoCellAnchor>
    <xdr:from>
      <xdr:col>4</xdr:col>
      <xdr:colOff>868680</xdr:colOff>
      <xdr:row>6</xdr:row>
      <xdr:rowOff>44450</xdr:rowOff>
    </xdr:from>
    <xdr:to>
      <xdr:col>10</xdr:col>
      <xdr:colOff>160020</xdr:colOff>
      <xdr:row>7</xdr:row>
      <xdr:rowOff>177800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D4062A69-F989-48EF-A78B-0BBFF054A265}"/>
            </a:ext>
          </a:extLst>
        </xdr:cNvPr>
        <xdr:cNvSpPr txBox="1"/>
      </xdr:nvSpPr>
      <xdr:spPr>
        <a:xfrm>
          <a:off x="5097780" y="1111250"/>
          <a:ext cx="4841240" cy="336550"/>
        </a:xfrm>
        <a:prstGeom prst="rect">
          <a:avLst/>
        </a:prstGeom>
        <a:solidFill>
          <a:schemeClr val="lt1"/>
        </a:solidFill>
        <a:ln w="28575" cmpd="sng">
          <a:solidFill>
            <a:srgbClr val="244D8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s-ES" altLang="ja-JP" sz="12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1</a:t>
          </a:r>
          <a:r>
            <a:rPr lang="ja-JP" altLang="en-US" sz="12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年の有給休暇日数（前年の繰越分も含める）</a:t>
          </a:r>
          <a:endParaRPr lang="ja-JP" altLang="en-US" sz="1200" b="0">
            <a:effectLst/>
            <a:latin typeface="MS PGothic" panose="020B0600070205080204" pitchFamily="34" charset="-128"/>
            <a:ea typeface="MS PGothic" panose="020B0600070205080204" pitchFamily="34" charset="-128"/>
          </a:endParaRPr>
        </a:p>
      </xdr:txBody>
    </xdr:sp>
    <xdr:clientData/>
  </xdr:twoCellAnchor>
  <xdr:twoCellAnchor>
    <xdr:from>
      <xdr:col>4</xdr:col>
      <xdr:colOff>144780</xdr:colOff>
      <xdr:row>7</xdr:row>
      <xdr:rowOff>9525</xdr:rowOff>
    </xdr:from>
    <xdr:to>
      <xdr:col>4</xdr:col>
      <xdr:colOff>868680</xdr:colOff>
      <xdr:row>8</xdr:row>
      <xdr:rowOff>83820</xdr:rowOff>
    </xdr:to>
    <xdr:cxnSp macro="">
      <xdr:nvCxnSpPr>
        <xdr:cNvPr id="5" name="Gerade Verbindung mit Pfeil 4">
          <a:extLst>
            <a:ext uri="{FF2B5EF4-FFF2-40B4-BE49-F238E27FC236}">
              <a16:creationId xmlns:a16="http://schemas.microsoft.com/office/drawing/2014/main" id="{88933BE8-4818-4612-AB63-EBBCE3F6FB44}"/>
            </a:ext>
          </a:extLst>
        </xdr:cNvPr>
        <xdr:cNvCxnSpPr>
          <a:stCxn id="4" idx="1"/>
        </xdr:cNvCxnSpPr>
      </xdr:nvCxnSpPr>
      <xdr:spPr>
        <a:xfrm flipH="1">
          <a:off x="4373880" y="1279525"/>
          <a:ext cx="723900" cy="277495"/>
        </a:xfrm>
        <a:prstGeom prst="straightConnector1">
          <a:avLst/>
        </a:prstGeom>
        <a:ln w="28575">
          <a:solidFill>
            <a:srgbClr val="244D80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144780</xdr:colOff>
      <xdr:row>26</xdr:row>
      <xdr:rowOff>114300</xdr:rowOff>
    </xdr:from>
    <xdr:to>
      <xdr:col>14</xdr:col>
      <xdr:colOff>101600</xdr:colOff>
      <xdr:row>37</xdr:row>
      <xdr:rowOff>25400</xdr:rowOff>
    </xdr:to>
    <xdr:sp macro="" textlink="">
      <xdr:nvSpPr>
        <xdr:cNvPr id="9" name="Textfeld 8">
          <a:extLst>
            <a:ext uri="{FF2B5EF4-FFF2-40B4-BE49-F238E27FC236}">
              <a16:creationId xmlns:a16="http://schemas.microsoft.com/office/drawing/2014/main" id="{CA9EC33C-A0F8-4281-B15F-388F8FBE7AB9}"/>
            </a:ext>
          </a:extLst>
        </xdr:cNvPr>
        <xdr:cNvSpPr txBox="1"/>
      </xdr:nvSpPr>
      <xdr:spPr>
        <a:xfrm>
          <a:off x="6113780" y="4940300"/>
          <a:ext cx="6116320" cy="2006600"/>
        </a:xfrm>
        <a:prstGeom prst="rect">
          <a:avLst/>
        </a:prstGeom>
        <a:solidFill>
          <a:schemeClr val="lt1"/>
        </a:solidFill>
        <a:ln w="28575" cmpd="sng">
          <a:solidFill>
            <a:srgbClr val="244D8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ja-JP" altLang="en-US" sz="1200" b="1">
              <a:solidFill>
                <a:schemeClr val="accent1">
                  <a:lumMod val="75000"/>
                </a:schemeClr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出勤簿の概要</a:t>
          </a:r>
          <a:endParaRPr lang="en-US" altLang="ja-JP" sz="1200" b="1">
            <a:solidFill>
              <a:schemeClr val="accent1">
                <a:lumMod val="75000"/>
              </a:schemeClr>
            </a:solidFill>
            <a:effectLst/>
            <a:latin typeface="MS PGothic" panose="020B0600070205080204" pitchFamily="34" charset="-128"/>
            <a:ea typeface="MS PGothic" panose="020B0600070205080204" pitchFamily="34" charset="-128"/>
            <a:cs typeface="Arial" panose="020B0604020202020204" pitchFamily="34" charset="0"/>
          </a:endParaRPr>
        </a:p>
        <a:p>
          <a:r>
            <a:rPr lang="de-DE" sz="1200" baseline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* </a:t>
          </a:r>
          <a:r>
            <a:rPr lang="ja-JP" altLang="en-US" sz="1200" b="1" baseline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スケジュール</a:t>
          </a:r>
          <a:r>
            <a:rPr lang="ja-JP" altLang="en-US" sz="1200" b="0" baseline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　</a:t>
          </a:r>
          <a:r>
            <a:rPr lang="ja-JP" altLang="en-US" sz="1200" baseline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毎日の労働時間を記録</a:t>
          </a:r>
          <a:endParaRPr lang="en-US" altLang="ja-JP" sz="1200" baseline="0">
            <a:solidFill>
              <a:schemeClr val="dk1"/>
            </a:solidFill>
            <a:effectLst/>
            <a:latin typeface="MS PGothic" panose="020B0600070205080204" pitchFamily="34" charset="-128"/>
            <a:ea typeface="MS PGothic" panose="020B0600070205080204" pitchFamily="34" charset="-128"/>
            <a:cs typeface="Arial" panose="020B0604020202020204" pitchFamily="34" charset="0"/>
          </a:endParaRPr>
        </a:p>
        <a:p>
          <a:r>
            <a:rPr lang="de-DE" sz="1200" baseline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* </a:t>
          </a:r>
          <a:r>
            <a:rPr lang="ja-JP" altLang="en-US" sz="1200" b="1" baseline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休暇管理　</a:t>
          </a:r>
          <a:r>
            <a:rPr lang="ja-JP" altLang="en-US" sz="1200" baseline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欠勤（有給休暇、病気休暇）の日数を入力</a:t>
          </a:r>
          <a:endParaRPr lang="en-US" altLang="ja-JP" sz="1200" baseline="0">
            <a:solidFill>
              <a:schemeClr val="dk1"/>
            </a:solidFill>
            <a:effectLst/>
            <a:latin typeface="MS PGothic" panose="020B0600070205080204" pitchFamily="34" charset="-128"/>
            <a:ea typeface="MS PGothic" panose="020B0600070205080204" pitchFamily="34" charset="-128"/>
            <a:cs typeface="Arial" panose="020B0604020202020204" pitchFamily="34" charset="0"/>
          </a:endParaRPr>
        </a:p>
        <a:p>
          <a:r>
            <a:rPr lang="de-DE" sz="1200" baseline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	</a:t>
          </a:r>
          <a:r>
            <a:rPr lang="ja-JP" altLang="en-US" sz="1200" baseline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注：欠勤日数は残業時間の計算には考慮されない</a:t>
          </a:r>
          <a:endParaRPr lang="en-US" altLang="ja-JP" sz="1200" baseline="0">
            <a:solidFill>
              <a:schemeClr val="dk1"/>
            </a:solidFill>
            <a:effectLst/>
            <a:latin typeface="MS PGothic" panose="020B0600070205080204" pitchFamily="34" charset="-128"/>
            <a:ea typeface="MS PGothic" panose="020B0600070205080204" pitchFamily="34" charset="-128"/>
            <a:cs typeface="Arial" panose="020B0604020202020204" pitchFamily="34" charset="0"/>
          </a:endParaRPr>
        </a:p>
        <a:p>
          <a:r>
            <a:rPr lang="de-DE" sz="1200" b="1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* </a:t>
          </a:r>
          <a:r>
            <a:rPr lang="en-US" altLang="ja-JP" sz="1200" b="1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【</a:t>
          </a:r>
          <a:r>
            <a:rPr lang="ja-JP" altLang="en-US" sz="1200" b="1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レポート</a:t>
          </a:r>
          <a:r>
            <a:rPr lang="en-US" altLang="ja-JP" sz="1200" b="1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】</a:t>
          </a:r>
          <a:r>
            <a:rPr lang="ja-JP" altLang="en-US" sz="1200" b="1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月別　労働時間・日数</a:t>
          </a:r>
          <a:r>
            <a:rPr lang="ja-JP" altLang="en-US" sz="1200" b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　</a:t>
          </a:r>
          <a:r>
            <a:rPr lang="ja-JP" altLang="en-US" sz="120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月ごとに労働時間、欠勤日数の報告</a:t>
          </a:r>
        </a:p>
        <a:p>
          <a:r>
            <a:rPr lang="ja-JP" altLang="en-US" sz="1200" b="1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* </a:t>
          </a:r>
          <a:r>
            <a:rPr lang="en-US" altLang="ja-JP" sz="1200" b="1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【</a:t>
          </a:r>
          <a:r>
            <a:rPr lang="ja-JP" altLang="en-US" sz="1200" b="1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レポート</a:t>
          </a:r>
          <a:r>
            <a:rPr lang="en-US" altLang="ja-JP" sz="1200" b="1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】</a:t>
          </a:r>
          <a:r>
            <a:rPr lang="ja-JP" altLang="en-US" sz="1200" b="1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項目別　労働時間</a:t>
          </a:r>
          <a:r>
            <a:rPr lang="ja-JP" altLang="en-US" sz="1200" b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　毎月の労働時間を</a:t>
          </a:r>
          <a:r>
            <a:rPr lang="ja-JP" altLang="en-US" sz="120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報告</a:t>
          </a:r>
        </a:p>
        <a:p>
          <a:r>
            <a:rPr lang="ja-JP" altLang="en-US" sz="1200" b="1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* </a:t>
          </a:r>
          <a:r>
            <a:rPr lang="en-US" altLang="ja-JP" sz="1200" b="1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【</a:t>
          </a:r>
          <a:r>
            <a:rPr lang="ja-JP" altLang="en-US" sz="1200" b="1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レポート</a:t>
          </a:r>
          <a:r>
            <a:rPr lang="en-US" altLang="ja-JP" sz="1200" b="1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】</a:t>
          </a:r>
          <a:r>
            <a:rPr lang="ja-JP" altLang="en-US" sz="1200" b="1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項目別 各月給与　</a:t>
          </a:r>
          <a:r>
            <a:rPr lang="ja-JP" altLang="en-US" sz="120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毎月の給与を表示</a:t>
          </a:r>
          <a:endParaRPr lang="en-US" altLang="ja-JP" sz="1200">
            <a:solidFill>
              <a:schemeClr val="dk1"/>
            </a:solidFill>
            <a:effectLst/>
            <a:latin typeface="MS PGothic" panose="020B0600070205080204" pitchFamily="34" charset="-128"/>
            <a:ea typeface="MS PGothic" panose="020B0600070205080204" pitchFamily="34" charset="-128"/>
            <a:cs typeface="Arial" panose="020B0604020202020204" pitchFamily="34" charset="0"/>
          </a:endParaRPr>
        </a:p>
        <a:p>
          <a:r>
            <a:rPr lang="ja-JP" altLang="en-US" sz="1200" b="1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* 祝日・休日</a:t>
          </a:r>
          <a:r>
            <a:rPr lang="ja-JP" altLang="en-US" sz="120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　</a:t>
          </a:r>
          <a:r>
            <a:rPr lang="ja-JP" altLang="en-US" sz="12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勤務時間の計算に必要な休日 </a:t>
          </a:r>
          <a:r>
            <a:rPr lang="en-US" altLang="ja-JP" sz="12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(</a:t>
          </a:r>
          <a:r>
            <a:rPr lang="ja-JP" altLang="en-US" sz="12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国民の祝日や会社の定める休日</a:t>
          </a:r>
          <a:r>
            <a:rPr lang="en-US" altLang="ja-JP" sz="12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) </a:t>
          </a:r>
          <a:r>
            <a:rPr lang="ja-JP" altLang="en-US" sz="12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を一覧</a:t>
          </a:r>
          <a:endParaRPr lang="en-US" altLang="ja-JP" sz="1200" b="0" i="0" u="none" strike="noStrike">
            <a:solidFill>
              <a:schemeClr val="dk1"/>
            </a:solidFill>
            <a:effectLst/>
            <a:latin typeface="MS PGothic" panose="020B0600070205080204" pitchFamily="34" charset="-128"/>
            <a:ea typeface="MS PGothic" panose="020B0600070205080204" pitchFamily="34" charset="-128"/>
            <a:cs typeface="+mn-cs"/>
          </a:endParaRPr>
        </a:p>
        <a:p>
          <a:r>
            <a:rPr lang="en-US" altLang="ja-JP" sz="120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	</a:t>
          </a:r>
          <a:r>
            <a:rPr lang="ja-JP" altLang="en-US" sz="120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注：祝祭日は労働日数には含まれない</a:t>
          </a:r>
          <a:endParaRPr lang="de-DE" sz="1200" b="1">
            <a:solidFill>
              <a:sysClr val="windowText" lastClr="000000"/>
            </a:solidFill>
            <a:latin typeface="MS PGothic" panose="020B0600070205080204" pitchFamily="34" charset="-128"/>
            <a:ea typeface="MS PGothic" panose="020B060007020508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855980</xdr:colOff>
      <xdr:row>8</xdr:row>
      <xdr:rowOff>60960</xdr:rowOff>
    </xdr:from>
    <xdr:to>
      <xdr:col>10</xdr:col>
      <xdr:colOff>147320</xdr:colOff>
      <xdr:row>9</xdr:row>
      <xdr:rowOff>134320</xdr:rowOff>
    </xdr:to>
    <xdr:sp macro="" textlink="">
      <xdr:nvSpPr>
        <xdr:cNvPr id="10" name="Textfeld 9">
          <a:extLst>
            <a:ext uri="{FF2B5EF4-FFF2-40B4-BE49-F238E27FC236}">
              <a16:creationId xmlns:a16="http://schemas.microsoft.com/office/drawing/2014/main" id="{2B14977A-80B3-4C80-A0B3-44D02B63D4CA}"/>
            </a:ext>
          </a:extLst>
        </xdr:cNvPr>
        <xdr:cNvSpPr txBox="1"/>
      </xdr:nvSpPr>
      <xdr:spPr>
        <a:xfrm>
          <a:off x="5085080" y="1534160"/>
          <a:ext cx="4841240" cy="276560"/>
        </a:xfrm>
        <a:prstGeom prst="rect">
          <a:avLst/>
        </a:prstGeom>
        <a:solidFill>
          <a:schemeClr val="lt1"/>
        </a:solidFill>
        <a:ln w="28575" cmpd="sng">
          <a:solidFill>
            <a:srgbClr val="244D8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20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1</a:t>
          </a:r>
          <a:r>
            <a:rPr lang="ja-JP" altLang="en-US" sz="120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日の通常の労働時間</a:t>
          </a:r>
          <a:endParaRPr lang="de-DE" sz="1200">
            <a:latin typeface="MS PGothic" panose="020B0600070205080204" pitchFamily="34" charset="-128"/>
            <a:ea typeface="MS PGothic" panose="020B060007020508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139700</xdr:colOff>
      <xdr:row>8</xdr:row>
      <xdr:rowOff>199240</xdr:rowOff>
    </xdr:from>
    <xdr:to>
      <xdr:col>4</xdr:col>
      <xdr:colOff>855980</xdr:colOff>
      <xdr:row>9</xdr:row>
      <xdr:rowOff>139700</xdr:rowOff>
    </xdr:to>
    <xdr:cxnSp macro="">
      <xdr:nvCxnSpPr>
        <xdr:cNvPr id="11" name="Gerade Verbindung mit Pfeil 10">
          <a:extLst>
            <a:ext uri="{FF2B5EF4-FFF2-40B4-BE49-F238E27FC236}">
              <a16:creationId xmlns:a16="http://schemas.microsoft.com/office/drawing/2014/main" id="{BE0F5044-5023-445D-833E-37A94068F745}"/>
            </a:ext>
          </a:extLst>
        </xdr:cNvPr>
        <xdr:cNvCxnSpPr>
          <a:stCxn id="10" idx="1"/>
        </xdr:cNvCxnSpPr>
      </xdr:nvCxnSpPr>
      <xdr:spPr>
        <a:xfrm flipH="1">
          <a:off x="4368800" y="1672440"/>
          <a:ext cx="716280" cy="143660"/>
        </a:xfrm>
        <a:prstGeom prst="straightConnector1">
          <a:avLst/>
        </a:prstGeom>
        <a:ln w="28575">
          <a:solidFill>
            <a:srgbClr val="244D80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127000</xdr:colOff>
      <xdr:row>11</xdr:row>
      <xdr:rowOff>88931</xdr:rowOff>
    </xdr:from>
    <xdr:to>
      <xdr:col>4</xdr:col>
      <xdr:colOff>843280</xdr:colOff>
      <xdr:row>11</xdr:row>
      <xdr:rowOff>174171</xdr:rowOff>
    </xdr:to>
    <xdr:cxnSp macro="">
      <xdr:nvCxnSpPr>
        <xdr:cNvPr id="12" name="Gerade Verbindung mit Pfeil 11">
          <a:extLst>
            <a:ext uri="{FF2B5EF4-FFF2-40B4-BE49-F238E27FC236}">
              <a16:creationId xmlns:a16="http://schemas.microsoft.com/office/drawing/2014/main" id="{646A88BC-0FEC-4479-A8FA-8BEFF79944FB}"/>
            </a:ext>
          </a:extLst>
        </xdr:cNvPr>
        <xdr:cNvCxnSpPr>
          <a:stCxn id="13" idx="1"/>
        </xdr:cNvCxnSpPr>
      </xdr:nvCxnSpPr>
      <xdr:spPr>
        <a:xfrm flipH="1">
          <a:off x="4009571" y="2048360"/>
          <a:ext cx="716280" cy="85240"/>
        </a:xfrm>
        <a:prstGeom prst="straightConnector1">
          <a:avLst/>
        </a:prstGeom>
        <a:ln w="28575">
          <a:solidFill>
            <a:srgbClr val="244D80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843280</xdr:colOff>
      <xdr:row>10</xdr:row>
      <xdr:rowOff>3991</xdr:rowOff>
    </xdr:from>
    <xdr:to>
      <xdr:col>10</xdr:col>
      <xdr:colOff>134620</xdr:colOff>
      <xdr:row>12</xdr:row>
      <xdr:rowOff>21471</xdr:rowOff>
    </xdr:to>
    <xdr:sp macro="" textlink="">
      <xdr:nvSpPr>
        <xdr:cNvPr id="13" name="Textfeld 12">
          <a:extLst>
            <a:ext uri="{FF2B5EF4-FFF2-40B4-BE49-F238E27FC236}">
              <a16:creationId xmlns:a16="http://schemas.microsoft.com/office/drawing/2014/main" id="{4596494D-9F85-416E-BA11-DF1AA6592819}"/>
            </a:ext>
          </a:extLst>
        </xdr:cNvPr>
        <xdr:cNvSpPr txBox="1"/>
      </xdr:nvSpPr>
      <xdr:spPr>
        <a:xfrm>
          <a:off x="4725851" y="1908991"/>
          <a:ext cx="4833983" cy="262409"/>
        </a:xfrm>
        <a:prstGeom prst="rect">
          <a:avLst/>
        </a:prstGeom>
        <a:solidFill>
          <a:schemeClr val="lt1"/>
        </a:solidFill>
        <a:ln w="28575" cmpd="sng">
          <a:solidFill>
            <a:srgbClr val="244D8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2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法定労働時間の上限</a:t>
          </a:r>
          <a:endParaRPr lang="de-DE" sz="1400" b="0" baseline="0">
            <a:latin typeface="MS PGothic" panose="020B0600070205080204" pitchFamily="34" charset="-128"/>
            <a:ea typeface="MS PGothic" panose="020B060007020508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830580</xdr:colOff>
      <xdr:row>12</xdr:row>
      <xdr:rowOff>85998</xdr:rowOff>
    </xdr:from>
    <xdr:to>
      <xdr:col>10</xdr:col>
      <xdr:colOff>520700</xdr:colOff>
      <xdr:row>16</xdr:row>
      <xdr:rowOff>134258</xdr:rowOff>
    </xdr:to>
    <xdr:sp macro="" textlink="">
      <xdr:nvSpPr>
        <xdr:cNvPr id="14" name="Textfeld 13">
          <a:extLst>
            <a:ext uri="{FF2B5EF4-FFF2-40B4-BE49-F238E27FC236}">
              <a16:creationId xmlns:a16="http://schemas.microsoft.com/office/drawing/2014/main" id="{B373D3B8-323F-4509-8EB3-6EC6449CDEFE}"/>
            </a:ext>
          </a:extLst>
        </xdr:cNvPr>
        <xdr:cNvSpPr txBox="1"/>
      </xdr:nvSpPr>
      <xdr:spPr>
        <a:xfrm>
          <a:off x="4713151" y="2235927"/>
          <a:ext cx="5232763" cy="810260"/>
        </a:xfrm>
        <a:prstGeom prst="rect">
          <a:avLst/>
        </a:prstGeom>
        <a:solidFill>
          <a:schemeClr val="lt1"/>
        </a:solidFill>
        <a:ln w="28575" cmpd="sng">
          <a:solidFill>
            <a:srgbClr val="244D8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ja-JP" altLang="en-US" sz="1200" baseline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法定休憩時間の遵守</a:t>
          </a:r>
        </a:p>
        <a:p>
          <a:r>
            <a:rPr lang="ja-JP" altLang="en-US" sz="1200" baseline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・</a:t>
          </a:r>
          <a:r>
            <a:rPr lang="en-US" altLang="ja-JP" sz="1200" baseline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6</a:t>
          </a:r>
          <a:r>
            <a:rPr lang="ja-JP" altLang="en-US" sz="1200" baseline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時間を超え、</a:t>
          </a:r>
          <a:r>
            <a:rPr lang="en-US" altLang="ja-JP" sz="1200" baseline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8</a:t>
          </a:r>
          <a:r>
            <a:rPr lang="ja-JP" altLang="en-US" sz="1200" baseline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時間以下の場合、</a:t>
          </a:r>
          <a:r>
            <a:rPr lang="en-US" altLang="ja-JP" sz="1200" baseline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0.75</a:t>
          </a:r>
          <a:r>
            <a:rPr lang="ja-JP" altLang="en-US" sz="1200" baseline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時間の休憩を取らなければならない</a:t>
          </a:r>
        </a:p>
        <a:p>
          <a:r>
            <a:rPr lang="ja-JP" altLang="en-US" sz="1200" baseline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・</a:t>
          </a:r>
          <a:r>
            <a:rPr lang="en-US" altLang="ja-JP" sz="1200" baseline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8</a:t>
          </a:r>
          <a:r>
            <a:rPr lang="ja-JP" altLang="en-US" sz="1200" baseline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時間を超える場合、</a:t>
          </a:r>
          <a:r>
            <a:rPr lang="en-US" altLang="ja-JP" sz="1200" baseline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1</a:t>
          </a:r>
          <a:r>
            <a:rPr lang="ja-JP" altLang="en-US" sz="1200" baseline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時間の休憩を取らなければならない</a:t>
          </a:r>
          <a:endParaRPr lang="de-DE" sz="1200" baseline="0">
            <a:latin typeface="MS PGothic" panose="020B0600070205080204" pitchFamily="34" charset="-128"/>
            <a:ea typeface="MS PGothic" panose="020B060007020508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114300</xdr:colOff>
      <xdr:row>12</xdr:row>
      <xdr:rowOff>127000</xdr:rowOff>
    </xdr:from>
    <xdr:to>
      <xdr:col>4</xdr:col>
      <xdr:colOff>825500</xdr:colOff>
      <xdr:row>13</xdr:row>
      <xdr:rowOff>117928</xdr:rowOff>
    </xdr:to>
    <xdr:cxnSp macro="">
      <xdr:nvCxnSpPr>
        <xdr:cNvPr id="15" name="Gerade Verbindung mit Pfeil 14">
          <a:extLst>
            <a:ext uri="{FF2B5EF4-FFF2-40B4-BE49-F238E27FC236}">
              <a16:creationId xmlns:a16="http://schemas.microsoft.com/office/drawing/2014/main" id="{A250DE21-5144-4C58-939B-BF4F6402D082}"/>
            </a:ext>
          </a:extLst>
        </xdr:cNvPr>
        <xdr:cNvCxnSpPr/>
      </xdr:nvCxnSpPr>
      <xdr:spPr>
        <a:xfrm flipH="1" flipV="1">
          <a:off x="3996871" y="2276929"/>
          <a:ext cx="711200" cy="181428"/>
        </a:xfrm>
        <a:prstGeom prst="straightConnector1">
          <a:avLst/>
        </a:prstGeom>
        <a:ln w="28575">
          <a:solidFill>
            <a:srgbClr val="244D80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114300</xdr:colOff>
      <xdr:row>13</xdr:row>
      <xdr:rowOff>101600</xdr:rowOff>
    </xdr:from>
    <xdr:to>
      <xdr:col>4</xdr:col>
      <xdr:colOff>816429</xdr:colOff>
      <xdr:row>13</xdr:row>
      <xdr:rowOff>136071</xdr:rowOff>
    </xdr:to>
    <xdr:cxnSp macro="">
      <xdr:nvCxnSpPr>
        <xdr:cNvPr id="16" name="Gerade Verbindung mit Pfeil 15">
          <a:extLst>
            <a:ext uri="{FF2B5EF4-FFF2-40B4-BE49-F238E27FC236}">
              <a16:creationId xmlns:a16="http://schemas.microsoft.com/office/drawing/2014/main" id="{D4EE7F2E-0669-4EE8-A312-06C7121E4280}"/>
            </a:ext>
          </a:extLst>
        </xdr:cNvPr>
        <xdr:cNvCxnSpPr/>
      </xdr:nvCxnSpPr>
      <xdr:spPr>
        <a:xfrm flipH="1" flipV="1">
          <a:off x="3996871" y="2442029"/>
          <a:ext cx="702129" cy="34471"/>
        </a:xfrm>
        <a:prstGeom prst="straightConnector1">
          <a:avLst/>
        </a:prstGeom>
        <a:ln w="28575">
          <a:solidFill>
            <a:srgbClr val="244D80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144780</xdr:colOff>
      <xdr:row>0</xdr:row>
      <xdr:rowOff>121920</xdr:rowOff>
    </xdr:from>
    <xdr:to>
      <xdr:col>5</xdr:col>
      <xdr:colOff>345219</xdr:colOff>
      <xdr:row>4</xdr:row>
      <xdr:rowOff>78249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27A67A4-2EBF-4D07-8125-D1CAF2468A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4780" y="121920"/>
          <a:ext cx="2885440" cy="664989"/>
        </a:xfrm>
        <a:prstGeom prst="rect">
          <a:avLst/>
        </a:prstGeom>
      </xdr:spPr>
    </xdr:pic>
    <xdr:clientData/>
  </xdr:twoCellAnchor>
  <xdr:twoCellAnchor>
    <xdr:from>
      <xdr:col>11</xdr:col>
      <xdr:colOff>708660</xdr:colOff>
      <xdr:row>1</xdr:row>
      <xdr:rowOff>127000</xdr:rowOff>
    </xdr:from>
    <xdr:to>
      <xdr:col>11</xdr:col>
      <xdr:colOff>2980267</xdr:colOff>
      <xdr:row>4</xdr:row>
      <xdr:rowOff>33058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AC10A677-F19D-417D-AE6A-7CF31890A3C3}"/>
            </a:ext>
          </a:extLst>
        </xdr:cNvPr>
        <xdr:cNvSpPr txBox="1"/>
      </xdr:nvSpPr>
      <xdr:spPr>
        <a:xfrm>
          <a:off x="10233660" y="317500"/>
          <a:ext cx="2271607" cy="439458"/>
        </a:xfrm>
        <a:prstGeom prst="rect">
          <a:avLst/>
        </a:prstGeom>
        <a:solidFill>
          <a:schemeClr val="lt1"/>
        </a:solidFill>
        <a:ln w="28575" cmpd="sng">
          <a:solidFill>
            <a:srgbClr val="244D8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200" b="0" i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作業内容の詳細を記入</a:t>
          </a:r>
          <a:endParaRPr lang="en-US" sz="1400">
            <a:effectLst/>
            <a:latin typeface="MS PGothic" panose="020B0600070205080204" pitchFamily="34" charset="-128"/>
            <a:ea typeface="MS PGothic" panose="020B060007020508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753036</xdr:colOff>
      <xdr:row>9</xdr:row>
      <xdr:rowOff>23309</xdr:rowOff>
    </xdr:from>
    <xdr:to>
      <xdr:col>15</xdr:col>
      <xdr:colOff>251012</xdr:colOff>
      <xdr:row>11</xdr:row>
      <xdr:rowOff>152400</xdr:rowOff>
    </xdr:to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id="{64A778EB-415A-4DE7-8DF1-6688AAD4A3B7}"/>
            </a:ext>
          </a:extLst>
        </xdr:cNvPr>
        <xdr:cNvSpPr txBox="1"/>
      </xdr:nvSpPr>
      <xdr:spPr>
        <a:xfrm>
          <a:off x="9699812" y="1834180"/>
          <a:ext cx="2590800" cy="487679"/>
        </a:xfrm>
        <a:prstGeom prst="rect">
          <a:avLst/>
        </a:prstGeom>
        <a:solidFill>
          <a:schemeClr val="lt1"/>
        </a:solidFill>
        <a:ln w="28575" cmpd="sng">
          <a:solidFill>
            <a:srgbClr val="244D8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ja-JP" altLang="en-US" sz="1200" baseline="0"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網掛け部分はすべて自動計算</a:t>
          </a:r>
          <a:endParaRPr lang="de-DE" sz="1200" baseline="0">
            <a:latin typeface="MS PGothic" panose="020B0600070205080204" pitchFamily="34" charset="-128"/>
            <a:ea typeface="MS PGothic" panose="020B060007020508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737446</xdr:colOff>
      <xdr:row>0</xdr:row>
      <xdr:rowOff>101601</xdr:rowOff>
    </xdr:from>
    <xdr:to>
      <xdr:col>10</xdr:col>
      <xdr:colOff>533400</xdr:colOff>
      <xdr:row>4</xdr:row>
      <xdr:rowOff>0</xdr:rowOff>
    </xdr:to>
    <xdr:sp macro="" textlink="">
      <xdr:nvSpPr>
        <xdr:cNvPr id="14" name="Textfeld 13">
          <a:extLst>
            <a:ext uri="{FF2B5EF4-FFF2-40B4-BE49-F238E27FC236}">
              <a16:creationId xmlns:a16="http://schemas.microsoft.com/office/drawing/2014/main" id="{7E375D4B-D0AC-41B3-990B-3E4174C4DDE6}"/>
            </a:ext>
          </a:extLst>
        </xdr:cNvPr>
        <xdr:cNvSpPr txBox="1"/>
      </xdr:nvSpPr>
      <xdr:spPr>
        <a:xfrm>
          <a:off x="5360246" y="101601"/>
          <a:ext cx="3339254" cy="622299"/>
        </a:xfrm>
        <a:prstGeom prst="rect">
          <a:avLst/>
        </a:prstGeom>
        <a:solidFill>
          <a:schemeClr val="lt1"/>
        </a:solidFill>
        <a:ln w="28575" cmpd="sng">
          <a:solidFill>
            <a:srgbClr val="244D8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200" b="0" i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入力ミス等により、労働時間がマイナスの場合は</a:t>
          </a:r>
          <a:r>
            <a:rPr lang="ja-JP" altLang="en-US" sz="1200" b="1" i="0">
              <a:solidFill>
                <a:srgbClr val="FF0000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赤字表示</a:t>
          </a:r>
          <a:r>
            <a:rPr lang="en-US" altLang="ja-JP" sz="1200" b="0" i="0" baseline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 (</a:t>
          </a:r>
          <a:r>
            <a:rPr lang="ja-JP" altLang="en-US" sz="1200" b="0" i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要修正</a:t>
          </a:r>
          <a:r>
            <a:rPr lang="es-ES" altLang="ja-JP" sz="1200" b="0" i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)</a:t>
          </a:r>
          <a:endParaRPr lang="en-US" sz="1400">
            <a:effectLst/>
            <a:latin typeface="MS PGothic" panose="020B0600070205080204" pitchFamily="34" charset="-128"/>
            <a:ea typeface="MS PGothic" panose="020B060007020508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749300</xdr:colOff>
      <xdr:row>2</xdr:row>
      <xdr:rowOff>127000</xdr:rowOff>
    </xdr:from>
    <xdr:to>
      <xdr:col>7</xdr:col>
      <xdr:colOff>719667</xdr:colOff>
      <xdr:row>5</xdr:row>
      <xdr:rowOff>165100</xdr:rowOff>
    </xdr:to>
    <xdr:cxnSp macro="">
      <xdr:nvCxnSpPr>
        <xdr:cNvPr id="15" name="Gerade Verbindung mit Pfeil 14">
          <a:extLst>
            <a:ext uri="{FF2B5EF4-FFF2-40B4-BE49-F238E27FC236}">
              <a16:creationId xmlns:a16="http://schemas.microsoft.com/office/drawing/2014/main" id="{A707B2DE-6D1A-410C-A4A7-EA9FCA1D19DD}"/>
            </a:ext>
          </a:extLst>
        </xdr:cNvPr>
        <xdr:cNvCxnSpPr/>
      </xdr:nvCxnSpPr>
      <xdr:spPr>
        <a:xfrm flipH="1">
          <a:off x="4330700" y="508000"/>
          <a:ext cx="1011767" cy="800100"/>
        </a:xfrm>
        <a:prstGeom prst="straightConnector1">
          <a:avLst/>
        </a:prstGeom>
        <a:ln w="28575">
          <a:solidFill>
            <a:srgbClr val="244D80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850900</xdr:colOff>
      <xdr:row>107</xdr:row>
      <xdr:rowOff>139700</xdr:rowOff>
    </xdr:from>
    <xdr:to>
      <xdr:col>12</xdr:col>
      <xdr:colOff>495300</xdr:colOff>
      <xdr:row>109</xdr:row>
      <xdr:rowOff>99097</xdr:rowOff>
    </xdr:to>
    <xdr:sp macro="" textlink="">
      <xdr:nvSpPr>
        <xdr:cNvPr id="18" name="Textfeld 17">
          <a:extLst>
            <a:ext uri="{FF2B5EF4-FFF2-40B4-BE49-F238E27FC236}">
              <a16:creationId xmlns:a16="http://schemas.microsoft.com/office/drawing/2014/main" id="{2E7D3FE8-42F4-430D-BE9B-C16F783F1A4E}"/>
            </a:ext>
          </a:extLst>
        </xdr:cNvPr>
        <xdr:cNvSpPr txBox="1"/>
      </xdr:nvSpPr>
      <xdr:spPr>
        <a:xfrm>
          <a:off x="9017000" y="21120100"/>
          <a:ext cx="4394200" cy="340397"/>
        </a:xfrm>
        <a:prstGeom prst="rect">
          <a:avLst/>
        </a:prstGeom>
        <a:solidFill>
          <a:schemeClr val="lt1"/>
        </a:solidFill>
        <a:ln w="28575" cmpd="sng">
          <a:solidFill>
            <a:srgbClr val="244D8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ja-JP" altLang="en-US" sz="1200">
              <a:latin typeface="Arial" panose="020B0604020202020204" pitchFamily="34" charset="0"/>
              <a:cs typeface="Arial" panose="020B0604020202020204" pitchFamily="34" charset="0"/>
            </a:rPr>
            <a:t>「小計」は、フィルタリングされたデータの合計を表示する</a:t>
          </a:r>
          <a:endParaRPr lang="de-DE" sz="1200" baseline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175260</xdr:colOff>
      <xdr:row>105</xdr:row>
      <xdr:rowOff>99060</xdr:rowOff>
    </xdr:from>
    <xdr:to>
      <xdr:col>10</xdr:col>
      <xdr:colOff>883920</xdr:colOff>
      <xdr:row>108</xdr:row>
      <xdr:rowOff>121920</xdr:rowOff>
    </xdr:to>
    <xdr:cxnSp macro="">
      <xdr:nvCxnSpPr>
        <xdr:cNvPr id="19" name="Gerade Verbindung mit Pfeil 18">
          <a:extLst>
            <a:ext uri="{FF2B5EF4-FFF2-40B4-BE49-F238E27FC236}">
              <a16:creationId xmlns:a16="http://schemas.microsoft.com/office/drawing/2014/main" id="{0CA7BAB1-5BC1-460A-9855-1E351A74B74E}"/>
            </a:ext>
          </a:extLst>
        </xdr:cNvPr>
        <xdr:cNvCxnSpPr/>
      </xdr:nvCxnSpPr>
      <xdr:spPr>
        <a:xfrm flipH="1" flipV="1">
          <a:off x="2339340" y="6766560"/>
          <a:ext cx="2148840" cy="548640"/>
        </a:xfrm>
        <a:prstGeom prst="straightConnector1">
          <a:avLst/>
        </a:prstGeom>
        <a:ln w="28575">
          <a:solidFill>
            <a:srgbClr val="244D80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495300</xdr:colOff>
      <xdr:row>105</xdr:row>
      <xdr:rowOff>15240</xdr:rowOff>
    </xdr:from>
    <xdr:to>
      <xdr:col>13</xdr:col>
      <xdr:colOff>632460</xdr:colOff>
      <xdr:row>108</xdr:row>
      <xdr:rowOff>152400</xdr:rowOff>
    </xdr:to>
    <xdr:cxnSp macro="">
      <xdr:nvCxnSpPr>
        <xdr:cNvPr id="22" name="Gerade Verbindung mit Pfeil 21">
          <a:extLst>
            <a:ext uri="{FF2B5EF4-FFF2-40B4-BE49-F238E27FC236}">
              <a16:creationId xmlns:a16="http://schemas.microsoft.com/office/drawing/2014/main" id="{17EC71EF-DCD1-492C-B8FE-E2975F6C70F2}"/>
            </a:ext>
          </a:extLst>
        </xdr:cNvPr>
        <xdr:cNvCxnSpPr/>
      </xdr:nvCxnSpPr>
      <xdr:spPr>
        <a:xfrm flipV="1">
          <a:off x="7490460" y="2644140"/>
          <a:ext cx="1272540" cy="662940"/>
        </a:xfrm>
        <a:prstGeom prst="straightConnector1">
          <a:avLst/>
        </a:prstGeom>
        <a:ln w="28575">
          <a:solidFill>
            <a:srgbClr val="244D80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14</xdr:col>
      <xdr:colOff>487680</xdr:colOff>
      <xdr:row>0</xdr:row>
      <xdr:rowOff>78741</xdr:rowOff>
    </xdr:from>
    <xdr:to>
      <xdr:col>21</xdr:col>
      <xdr:colOff>18827</xdr:colOff>
      <xdr:row>5</xdr:row>
      <xdr:rowOff>124461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6" name="Projekt 1">
              <a:extLst>
                <a:ext uri="{FF2B5EF4-FFF2-40B4-BE49-F238E27FC236}">
                  <a16:creationId xmlns:a16="http://schemas.microsoft.com/office/drawing/2014/main" id="{A9D442A8-ADBB-45CA-9CCE-191B516D7BB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Projekt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5765780" y="78741"/>
              <a:ext cx="2083847" cy="11887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この図形はテーブル スライサーを表しています。テーブル スライサーはこのバージョンの Excel ではサポートされていません。
以前のバージョンの Excel で図形を変更した場合、または Excel 2007 以前の形式でブックを保存した場合は、スライサーを使用できません。</a:t>
              </a:r>
            </a:p>
          </xdr:txBody>
        </xdr:sp>
      </mc:Fallback>
    </mc:AlternateContent>
    <xdr:clientData/>
  </xdr:twoCellAnchor>
  <xdr:twoCellAnchor editAs="absolute">
    <xdr:from>
      <xdr:col>21</xdr:col>
      <xdr:colOff>165100</xdr:colOff>
      <xdr:row>0</xdr:row>
      <xdr:rowOff>86361</xdr:rowOff>
    </xdr:from>
    <xdr:to>
      <xdr:col>22</xdr:col>
      <xdr:colOff>585893</xdr:colOff>
      <xdr:row>5</xdr:row>
      <xdr:rowOff>122937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9" name="Monat">
              <a:extLst>
                <a:ext uri="{FF2B5EF4-FFF2-40B4-BE49-F238E27FC236}">
                  <a16:creationId xmlns:a16="http://schemas.microsoft.com/office/drawing/2014/main" id="{6EB26C15-98B2-4C9E-9351-5F7EF85E2BB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onat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995900" y="86361"/>
              <a:ext cx="1297093" cy="117957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この図形はテーブル スライサーを表しています。テーブル スライサーはこのバージョンの Excel ではサポートされていません。
以前のバージョンの Excel で図形を変更した場合、または Excel 2007 以前の形式でブックを保存した場合は、スライサーを使用できません。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11</xdr:col>
      <xdr:colOff>1003300</xdr:colOff>
      <xdr:row>4</xdr:row>
      <xdr:rowOff>38100</xdr:rowOff>
    </xdr:from>
    <xdr:to>
      <xdr:col>11</xdr:col>
      <xdr:colOff>1003300</xdr:colOff>
      <xdr:row>5</xdr:row>
      <xdr:rowOff>152400</xdr:rowOff>
    </xdr:to>
    <xdr:cxnSp macro="">
      <xdr:nvCxnSpPr>
        <xdr:cNvPr id="16" name="Gerade Verbindung mit Pfeil 15">
          <a:extLst>
            <a:ext uri="{FF2B5EF4-FFF2-40B4-BE49-F238E27FC236}">
              <a16:creationId xmlns:a16="http://schemas.microsoft.com/office/drawing/2014/main" id="{451D0108-AC0E-467B-B6ED-5724D3B631BE}"/>
            </a:ext>
          </a:extLst>
        </xdr:cNvPr>
        <xdr:cNvCxnSpPr/>
      </xdr:nvCxnSpPr>
      <xdr:spPr>
        <a:xfrm>
          <a:off x="10528300" y="762000"/>
          <a:ext cx="0" cy="533400"/>
        </a:xfrm>
        <a:prstGeom prst="straightConnector1">
          <a:avLst/>
        </a:prstGeom>
        <a:ln w="28575">
          <a:solidFill>
            <a:srgbClr val="244D80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876300</xdr:colOff>
      <xdr:row>7</xdr:row>
      <xdr:rowOff>63501</xdr:rowOff>
    </xdr:from>
    <xdr:to>
      <xdr:col>12</xdr:col>
      <xdr:colOff>215901</xdr:colOff>
      <xdr:row>10</xdr:row>
      <xdr:rowOff>76201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E467AD50-C2CE-5257-FC63-9B19E03AFC6C}"/>
            </a:ext>
          </a:extLst>
        </xdr:cNvPr>
        <xdr:cNvGrpSpPr/>
      </xdr:nvGrpSpPr>
      <xdr:grpSpPr>
        <a:xfrm>
          <a:off x="6731000" y="1714501"/>
          <a:ext cx="6400801" cy="622300"/>
          <a:chOff x="9574631" y="368301"/>
          <a:chExt cx="6315975" cy="622300"/>
        </a:xfrm>
      </xdr:grpSpPr>
      <xdr:sp macro="" textlink="">
        <xdr:nvSpPr>
          <xdr:cNvPr id="20" name="Textfeld 19">
            <a:extLst>
              <a:ext uri="{FF2B5EF4-FFF2-40B4-BE49-F238E27FC236}">
                <a16:creationId xmlns:a16="http://schemas.microsoft.com/office/drawing/2014/main" id="{8D9D33BE-6887-4468-B273-A272BAFB1729}"/>
              </a:ext>
            </a:extLst>
          </xdr:cNvPr>
          <xdr:cNvSpPr txBox="1"/>
        </xdr:nvSpPr>
        <xdr:spPr>
          <a:xfrm>
            <a:off x="11039579" y="368301"/>
            <a:ext cx="4851027" cy="622300"/>
          </a:xfrm>
          <a:prstGeom prst="rect">
            <a:avLst/>
          </a:prstGeom>
          <a:solidFill>
            <a:schemeClr val="lt1"/>
          </a:solidFill>
          <a:ln w="28575" cmpd="sng">
            <a:solidFill>
              <a:srgbClr val="244D8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ja-JP" altLang="en-US" sz="1200" b="0" i="0">
                <a:solidFill>
                  <a:schemeClr val="dk1"/>
                </a:solidFill>
                <a:effectLst/>
                <a:latin typeface="MS PGothic" panose="020B0600070205080204" pitchFamily="34" charset="-128"/>
                <a:ea typeface="MS PGothic" panose="020B0600070205080204" pitchFamily="34" charset="-128"/>
                <a:cs typeface="Arial" panose="020B0604020202020204" pitchFamily="34" charset="0"/>
              </a:rPr>
              <a:t>規定の休憩時間を取れていない場合は</a:t>
            </a:r>
            <a:r>
              <a:rPr lang="ja-JP" altLang="en-US" sz="1200" b="1" i="0">
                <a:solidFill>
                  <a:srgbClr val="FF0000"/>
                </a:solidFill>
                <a:effectLst/>
                <a:latin typeface="MS PGothic" panose="020B0600070205080204" pitchFamily="34" charset="-128"/>
                <a:ea typeface="MS PGothic" panose="020B0600070205080204" pitchFamily="34" charset="-128"/>
                <a:cs typeface="Arial" panose="020B0604020202020204" pitchFamily="34" charset="0"/>
              </a:rPr>
              <a:t>赤字表示</a:t>
            </a:r>
            <a:r>
              <a:rPr lang="ja-JP" altLang="en-US" sz="1200" b="0" i="0">
                <a:solidFill>
                  <a:schemeClr val="dk1"/>
                </a:solidFill>
                <a:effectLst/>
                <a:latin typeface="MS PGothic" panose="020B0600070205080204" pitchFamily="34" charset="-128"/>
                <a:ea typeface="MS PGothic" panose="020B0600070205080204" pitchFamily="34" charset="-128"/>
                <a:cs typeface="Arial" panose="020B0604020202020204" pitchFamily="34" charset="0"/>
              </a:rPr>
              <a:t> </a:t>
            </a:r>
            <a:r>
              <a:rPr lang="en-US" altLang="ja-JP" sz="1200" b="0" i="0">
                <a:solidFill>
                  <a:schemeClr val="dk1"/>
                </a:solidFill>
                <a:effectLst/>
                <a:latin typeface="MS PGothic" panose="020B0600070205080204" pitchFamily="34" charset="-128"/>
                <a:ea typeface="MS PGothic" panose="020B0600070205080204" pitchFamily="34" charset="-128"/>
                <a:cs typeface="Arial" panose="020B0604020202020204" pitchFamily="34" charset="0"/>
              </a:rPr>
              <a:t>(</a:t>
            </a:r>
            <a:r>
              <a:rPr lang="ja-JP" altLang="en-US" sz="1200" b="0" i="0">
                <a:solidFill>
                  <a:schemeClr val="dk1"/>
                </a:solidFill>
                <a:effectLst/>
                <a:latin typeface="MS PGothic" panose="020B0600070205080204" pitchFamily="34" charset="-128"/>
                <a:ea typeface="MS PGothic" panose="020B0600070205080204" pitchFamily="34" charset="-128"/>
                <a:cs typeface="Arial" panose="020B0604020202020204" pitchFamily="34" charset="0"/>
              </a:rPr>
              <a:t>休憩時間は自動計算</a:t>
            </a:r>
            <a:r>
              <a:rPr lang="en-US" altLang="ja-JP" sz="1200" b="0" i="0">
                <a:solidFill>
                  <a:schemeClr val="dk1"/>
                </a:solidFill>
                <a:effectLst/>
                <a:latin typeface="MS PGothic" panose="020B0600070205080204" pitchFamily="34" charset="-128"/>
                <a:ea typeface="MS PGothic" panose="020B0600070205080204" pitchFamily="34" charset="-128"/>
                <a:cs typeface="Arial" panose="020B0604020202020204" pitchFamily="34" charset="0"/>
              </a:rPr>
              <a:t>)</a:t>
            </a: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ja-JP" altLang="en-US" sz="1200" b="0" i="0">
                <a:solidFill>
                  <a:schemeClr val="dk1"/>
                </a:solidFill>
                <a:effectLst/>
                <a:latin typeface="MS PGothic" panose="020B0600070205080204" pitchFamily="34" charset="-128"/>
                <a:ea typeface="MS PGothic" panose="020B0600070205080204" pitchFamily="34" charset="-128"/>
                <a:cs typeface="Arial" panose="020B0604020202020204" pitchFamily="34" charset="0"/>
              </a:rPr>
              <a:t>この例では最低</a:t>
            </a:r>
            <a:r>
              <a:rPr lang="en-US" altLang="ja-JP" sz="1200" b="0" i="0">
                <a:solidFill>
                  <a:schemeClr val="dk1"/>
                </a:solidFill>
                <a:effectLst/>
                <a:latin typeface="MS PGothic" panose="020B0600070205080204" pitchFamily="34" charset="-128"/>
                <a:ea typeface="MS PGothic" panose="020B0600070205080204" pitchFamily="34" charset="-128"/>
                <a:cs typeface="Arial" panose="020B0604020202020204" pitchFamily="34" charset="0"/>
              </a:rPr>
              <a:t>45</a:t>
            </a:r>
            <a:r>
              <a:rPr lang="ja-JP" altLang="en-US" sz="1200" b="0" i="0">
                <a:solidFill>
                  <a:schemeClr val="dk1"/>
                </a:solidFill>
                <a:effectLst/>
                <a:latin typeface="MS PGothic" panose="020B0600070205080204" pitchFamily="34" charset="-128"/>
                <a:ea typeface="MS PGothic" panose="020B0600070205080204" pitchFamily="34" charset="-128"/>
                <a:cs typeface="Arial" panose="020B0604020202020204" pitchFamily="34" charset="0"/>
              </a:rPr>
              <a:t>分の休憩が必要</a:t>
            </a:r>
            <a:endParaRPr lang="de-DE" sz="1200" b="0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cxnSp macro="">
        <xdr:nvCxnSpPr>
          <xdr:cNvPr id="21" name="Gerade Verbindung mit Pfeil 20">
            <a:extLst>
              <a:ext uri="{FF2B5EF4-FFF2-40B4-BE49-F238E27FC236}">
                <a16:creationId xmlns:a16="http://schemas.microsoft.com/office/drawing/2014/main" id="{B22B89B9-4407-4DD5-90B7-A371CD65F58B}"/>
              </a:ext>
            </a:extLst>
          </xdr:cNvPr>
          <xdr:cNvCxnSpPr/>
        </xdr:nvCxnSpPr>
        <xdr:spPr>
          <a:xfrm flipH="1" flipV="1">
            <a:off x="9574631" y="635000"/>
            <a:ext cx="1464948" cy="69851"/>
          </a:xfrm>
          <a:prstGeom prst="straightConnector1">
            <a:avLst/>
          </a:prstGeom>
          <a:ln w="28575">
            <a:solidFill>
              <a:srgbClr val="244D80"/>
            </a:solidFill>
            <a:headEnd type="none" w="med" len="med"/>
            <a:tailEnd type="triangl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7</xdr:col>
      <xdr:colOff>952500</xdr:colOff>
      <xdr:row>12</xdr:row>
      <xdr:rowOff>84667</xdr:rowOff>
    </xdr:from>
    <xdr:to>
      <xdr:col>11</xdr:col>
      <xdr:colOff>1879600</xdr:colOff>
      <xdr:row>14</xdr:row>
      <xdr:rowOff>38100</xdr:rowOff>
    </xdr:to>
    <xdr:grpSp>
      <xdr:nvGrpSpPr>
        <xdr:cNvPr id="10" name="グループ化 9">
          <a:extLst>
            <a:ext uri="{FF2B5EF4-FFF2-40B4-BE49-F238E27FC236}">
              <a16:creationId xmlns:a16="http://schemas.microsoft.com/office/drawing/2014/main" id="{C9854F1B-5768-A50D-51CE-B31641D3AEAB}"/>
            </a:ext>
          </a:extLst>
        </xdr:cNvPr>
        <xdr:cNvGrpSpPr/>
      </xdr:nvGrpSpPr>
      <xdr:grpSpPr>
        <a:xfrm>
          <a:off x="5575300" y="2751667"/>
          <a:ext cx="5829300" cy="359833"/>
          <a:chOff x="5486400" y="2548467"/>
          <a:chExt cx="5829300" cy="359833"/>
        </a:xfrm>
      </xdr:grpSpPr>
      <xdr:sp macro="" textlink="">
        <xdr:nvSpPr>
          <xdr:cNvPr id="26" name="Textfeld 25">
            <a:extLst>
              <a:ext uri="{FF2B5EF4-FFF2-40B4-BE49-F238E27FC236}">
                <a16:creationId xmlns:a16="http://schemas.microsoft.com/office/drawing/2014/main" id="{399D72DE-33BE-4025-8576-4053DFFA52DC}"/>
              </a:ext>
            </a:extLst>
          </xdr:cNvPr>
          <xdr:cNvSpPr txBox="1"/>
        </xdr:nvSpPr>
        <xdr:spPr>
          <a:xfrm>
            <a:off x="7651216" y="2548467"/>
            <a:ext cx="3664484" cy="359833"/>
          </a:xfrm>
          <a:prstGeom prst="rect">
            <a:avLst/>
          </a:prstGeom>
          <a:solidFill>
            <a:schemeClr val="lt1"/>
          </a:solidFill>
          <a:ln w="28575" cmpd="sng">
            <a:solidFill>
              <a:srgbClr val="244D8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ja-JP" altLang="en-US" sz="1200" b="0" i="0" u="none" strike="noStrike">
                <a:solidFill>
                  <a:schemeClr val="dk1"/>
                </a:solidFill>
                <a:effectLst/>
                <a:latin typeface="MS PGothic" panose="020B0600070205080204" pitchFamily="34" charset="-128"/>
                <a:ea typeface="MS PGothic" panose="020B0600070205080204" pitchFamily="34" charset="-128"/>
                <a:cs typeface="+mn-cs"/>
              </a:rPr>
              <a:t>法定労働時間の上限</a:t>
            </a:r>
            <a:r>
              <a:rPr lang="ja-JP" altLang="en-US" sz="1200" b="0" i="0" u="none" strike="noStrike" baseline="0">
                <a:solidFill>
                  <a:schemeClr val="dk1"/>
                </a:solidFill>
                <a:effectLst/>
                <a:latin typeface="MS PGothic" panose="020B0600070205080204" pitchFamily="34" charset="-128"/>
                <a:ea typeface="MS PGothic" panose="020B0600070205080204" pitchFamily="34" charset="-128"/>
                <a:cs typeface="Arial" panose="020B0604020202020204" pitchFamily="34" charset="0"/>
              </a:rPr>
              <a:t>を超えた場合は</a:t>
            </a:r>
            <a:r>
              <a:rPr lang="ja-JP" altLang="en-US" sz="1200" b="0" i="0" u="none" strike="noStrike" baseline="0">
                <a:solidFill>
                  <a:srgbClr val="FF0000"/>
                </a:solidFill>
                <a:effectLst/>
                <a:latin typeface="MS PGothic" panose="020B0600070205080204" pitchFamily="34" charset="-128"/>
                <a:ea typeface="MS PGothic" panose="020B0600070205080204" pitchFamily="34" charset="-128"/>
                <a:cs typeface="Arial" panose="020B0604020202020204" pitchFamily="34" charset="0"/>
              </a:rPr>
              <a:t>赤字表示</a:t>
            </a:r>
            <a:endParaRPr lang="de-DE" sz="1200" b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cxnSp macro="">
        <xdr:nvCxnSpPr>
          <xdr:cNvPr id="27" name="Gerade Verbindung mit Pfeil 26">
            <a:extLst>
              <a:ext uri="{FF2B5EF4-FFF2-40B4-BE49-F238E27FC236}">
                <a16:creationId xmlns:a16="http://schemas.microsoft.com/office/drawing/2014/main" id="{A37BFB2B-8422-42B8-9835-5BAD839AF06F}"/>
              </a:ext>
            </a:extLst>
          </xdr:cNvPr>
          <xdr:cNvCxnSpPr>
            <a:stCxn id="26" idx="1"/>
          </xdr:cNvCxnSpPr>
        </xdr:nvCxnSpPr>
        <xdr:spPr>
          <a:xfrm flipH="1">
            <a:off x="5486400" y="2728384"/>
            <a:ext cx="2164816" cy="52916"/>
          </a:xfrm>
          <a:prstGeom prst="straightConnector1">
            <a:avLst/>
          </a:prstGeom>
          <a:ln w="28575">
            <a:solidFill>
              <a:srgbClr val="244D80"/>
            </a:solidFill>
            <a:headEnd type="none" w="med" len="med"/>
            <a:tailEnd type="triangl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9</xdr:col>
      <xdr:colOff>173050</xdr:colOff>
      <xdr:row>22</xdr:row>
      <xdr:rowOff>57150</xdr:rowOff>
    </xdr:from>
    <xdr:to>
      <xdr:col>11</xdr:col>
      <xdr:colOff>3005488</xdr:colOff>
      <xdr:row>27</xdr:row>
      <xdr:rowOff>63500</xdr:rowOff>
    </xdr:to>
    <xdr:sp macro="" textlink="">
      <xdr:nvSpPr>
        <xdr:cNvPr id="17" name="Textfeld 16">
          <a:extLst>
            <a:ext uri="{FF2B5EF4-FFF2-40B4-BE49-F238E27FC236}">
              <a16:creationId xmlns:a16="http://schemas.microsoft.com/office/drawing/2014/main" id="{A4AB8158-E3B3-49B6-9463-0DEF5D6CEE4F}"/>
            </a:ext>
          </a:extLst>
        </xdr:cNvPr>
        <xdr:cNvSpPr txBox="1"/>
      </xdr:nvSpPr>
      <xdr:spPr>
        <a:xfrm>
          <a:off x="7285050" y="4743450"/>
          <a:ext cx="5245438" cy="1022350"/>
        </a:xfrm>
        <a:prstGeom prst="rect">
          <a:avLst/>
        </a:prstGeom>
        <a:solidFill>
          <a:schemeClr val="lt1"/>
        </a:solidFill>
        <a:ln w="28575" cmpd="sng">
          <a:solidFill>
            <a:srgbClr val="244D8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200" b="0" i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この表に労働時間を記入します。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ja-JP" altLang="en-US" sz="1200" b="0" i="0">
            <a:solidFill>
              <a:schemeClr val="dk1"/>
            </a:solidFill>
            <a:effectLst/>
            <a:latin typeface="MS PGothic" panose="020B0600070205080204" pitchFamily="34" charset="-128"/>
            <a:ea typeface="MS PGothic" panose="020B0600070205080204" pitchFamily="34" charset="-128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200" b="0" i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必要に応じて下方向に拡張できますが、「合計」の行の前に追加するようご注意ください。</a:t>
          </a:r>
          <a:endParaRPr lang="de-DE" sz="1200">
            <a:latin typeface="MS PGothic" panose="020B0600070205080204" pitchFamily="34" charset="-128"/>
            <a:ea typeface="MS PGothic" panose="020B0600070205080204" pitchFamily="34" charset="-128"/>
            <a:cs typeface="Arial" panose="020B060402020202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596900</xdr:colOff>
      <xdr:row>9</xdr:row>
      <xdr:rowOff>182880</xdr:rowOff>
    </xdr:from>
    <xdr:to>
      <xdr:col>9</xdr:col>
      <xdr:colOff>378460</xdr:colOff>
      <xdr:row>14</xdr:row>
      <xdr:rowOff>38100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C9A6C627-BDBD-46CE-9AF5-9142A9795EFF}"/>
            </a:ext>
          </a:extLst>
        </xdr:cNvPr>
        <xdr:cNvSpPr txBox="1"/>
      </xdr:nvSpPr>
      <xdr:spPr>
        <a:xfrm>
          <a:off x="2997200" y="2468880"/>
          <a:ext cx="6233160" cy="1125220"/>
        </a:xfrm>
        <a:prstGeom prst="rect">
          <a:avLst/>
        </a:prstGeom>
        <a:solidFill>
          <a:schemeClr val="lt1"/>
        </a:solidFill>
        <a:ln w="28575" cmpd="sng">
          <a:solidFill>
            <a:srgbClr val="244D8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ja-JP" altLang="en-US" sz="12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この表には、取得休暇日を記入します。</a:t>
          </a:r>
          <a:endParaRPr lang="en-US" altLang="ja-JP" sz="1200" b="0" i="0" u="none" strike="noStrike">
            <a:solidFill>
              <a:schemeClr val="dk1"/>
            </a:solidFill>
            <a:effectLst/>
            <a:latin typeface="MS PGothic" panose="020B0600070205080204" pitchFamily="34" charset="-128"/>
            <a:ea typeface="MS PGothic" panose="020B0600070205080204" pitchFamily="34" charset="-128"/>
            <a:cs typeface="+mn-cs"/>
          </a:endParaRPr>
        </a:p>
        <a:p>
          <a:pPr rtl="0"/>
          <a:endParaRPr lang="ja-JP" altLang="en-US" sz="1200" b="0" i="0" u="none" strike="noStrike">
            <a:solidFill>
              <a:schemeClr val="dk1"/>
            </a:solidFill>
            <a:effectLst/>
            <a:latin typeface="MS PGothic" panose="020B0600070205080204" pitchFamily="34" charset="-128"/>
            <a:ea typeface="MS PGothic" panose="020B0600070205080204" pitchFamily="34" charset="-128"/>
            <a:cs typeface="+mn-cs"/>
          </a:endParaRPr>
        </a:p>
        <a:p>
          <a:pPr rtl="0"/>
          <a:r>
            <a:rPr lang="ja-JP" altLang="en-US" sz="12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休暇日ごとに</a:t>
          </a:r>
          <a:r>
            <a:rPr lang="en-US" altLang="ja-JP" sz="12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1</a:t>
          </a:r>
          <a:r>
            <a:rPr lang="ja-JP" altLang="en-US" sz="12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行ずつ入力してください。</a:t>
          </a:r>
        </a:p>
        <a:p>
          <a:pPr rtl="0"/>
          <a:r>
            <a:rPr lang="ja-JP" altLang="en-US" sz="12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休暇日数は、残業時間の計算には含まれません。</a:t>
          </a:r>
        </a:p>
        <a:p>
          <a:pPr rtl="0"/>
          <a:r>
            <a:rPr lang="ja-JP" altLang="en-US" sz="1200" b="1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注意：</a:t>
          </a:r>
          <a:r>
            <a:rPr lang="ja-JP" altLang="en-US" sz="12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祝日や週末は入力しないでください。</a:t>
          </a:r>
        </a:p>
      </xdr:txBody>
    </xdr:sp>
    <xdr:clientData/>
  </xdr:twoCellAnchor>
  <xdr:twoCellAnchor editAs="oneCell">
    <xdr:from>
      <xdr:col>6</xdr:col>
      <xdr:colOff>91439</xdr:colOff>
      <xdr:row>1</xdr:row>
      <xdr:rowOff>0</xdr:rowOff>
    </xdr:from>
    <xdr:to>
      <xdr:col>8</xdr:col>
      <xdr:colOff>748448</xdr:colOff>
      <xdr:row>3</xdr:row>
      <xdr:rowOff>23517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60093182-4A25-407A-A8D9-825BDC4098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89219" y="175260"/>
          <a:ext cx="2241969" cy="51627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1727969</xdr:colOff>
      <xdr:row>19</xdr:row>
      <xdr:rowOff>101060</xdr:rowOff>
    </xdr:from>
    <xdr:to>
      <xdr:col>4</xdr:col>
      <xdr:colOff>433339</xdr:colOff>
      <xdr:row>25</xdr:row>
      <xdr:rowOff>103910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130D0E3-EE63-4161-A4A5-C0B3B598FB24}"/>
            </a:ext>
          </a:extLst>
        </xdr:cNvPr>
        <xdr:cNvSpPr txBox="1"/>
      </xdr:nvSpPr>
      <xdr:spPr>
        <a:xfrm>
          <a:off x="2051242" y="4384424"/>
          <a:ext cx="2700097" cy="1319031"/>
        </a:xfrm>
        <a:prstGeom prst="rect">
          <a:avLst/>
        </a:prstGeom>
        <a:solidFill>
          <a:schemeClr val="lt1"/>
        </a:solidFill>
        <a:ln w="28575" cmpd="sng">
          <a:solidFill>
            <a:srgbClr val="244D8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ja-JP" sz="1200"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1</a:t>
          </a:r>
          <a:r>
            <a:rPr lang="ja-JP" altLang="en-US" sz="1200"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ヶ月の労働日数の合計</a:t>
          </a:r>
          <a:br>
            <a:rPr lang="en-US" altLang="ja-JP" sz="1200"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</a:br>
          <a:endParaRPr lang="ja-JP" altLang="en-US" sz="1200">
            <a:latin typeface="MS PGothic" panose="020B0600070205080204" pitchFamily="34" charset="-128"/>
            <a:ea typeface="MS PGothic" panose="020B0600070205080204" pitchFamily="34" charset="-128"/>
            <a:cs typeface="Arial" panose="020B0604020202020204" pitchFamily="34" charset="0"/>
          </a:endParaRPr>
        </a:p>
        <a:p>
          <a:r>
            <a:rPr lang="ja-JP" altLang="en-US" sz="1200"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・月曜日から金曜日までの労働日数</a:t>
          </a:r>
          <a:r>
            <a:rPr lang="en-US" altLang="ja-JP" sz="1200"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 </a:t>
          </a:r>
        </a:p>
        <a:p>
          <a:r>
            <a:rPr lang="ja-JP" altLang="en-US" sz="1200"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・「祝日・休日」タブで定義された日は、労働日に含まれない</a:t>
          </a:r>
          <a:endParaRPr lang="de-DE" sz="1200">
            <a:latin typeface="MS PGothic" panose="020B0600070205080204" pitchFamily="34" charset="-128"/>
            <a:ea typeface="MS PGothic" panose="020B060007020508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508000</xdr:colOff>
      <xdr:row>18</xdr:row>
      <xdr:rowOff>101600</xdr:rowOff>
    </xdr:from>
    <xdr:to>
      <xdr:col>4</xdr:col>
      <xdr:colOff>135467</xdr:colOff>
      <xdr:row>19</xdr:row>
      <xdr:rowOff>92363</xdr:rowOff>
    </xdr:to>
    <xdr:cxnSp macro="">
      <xdr:nvCxnSpPr>
        <xdr:cNvPr id="3" name="Gerade Verbindung mit Pfeil 2">
          <a:extLst>
            <a:ext uri="{FF2B5EF4-FFF2-40B4-BE49-F238E27FC236}">
              <a16:creationId xmlns:a16="http://schemas.microsoft.com/office/drawing/2014/main" id="{32FBBFD2-C6CA-44C0-BA59-38864AC177E0}"/>
            </a:ext>
          </a:extLst>
        </xdr:cNvPr>
        <xdr:cNvCxnSpPr/>
      </xdr:nvCxnSpPr>
      <xdr:spPr>
        <a:xfrm flipV="1">
          <a:off x="3717636" y="4165600"/>
          <a:ext cx="735831" cy="210127"/>
        </a:xfrm>
        <a:prstGeom prst="straightConnector1">
          <a:avLst/>
        </a:prstGeom>
        <a:ln w="28575">
          <a:solidFill>
            <a:srgbClr val="244D80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897785</xdr:colOff>
      <xdr:row>19</xdr:row>
      <xdr:rowOff>67934</xdr:rowOff>
    </xdr:from>
    <xdr:to>
      <xdr:col>7</xdr:col>
      <xdr:colOff>254002</xdr:colOff>
      <xdr:row>21</xdr:row>
      <xdr:rowOff>184727</xdr:rowOff>
    </xdr:to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id="{D84B67E1-6150-4A65-9435-134BA4D5916C}"/>
            </a:ext>
          </a:extLst>
        </xdr:cNvPr>
        <xdr:cNvSpPr txBox="1"/>
      </xdr:nvSpPr>
      <xdr:spPr>
        <a:xfrm>
          <a:off x="6254876" y="4351298"/>
          <a:ext cx="1492126" cy="555520"/>
        </a:xfrm>
        <a:prstGeom prst="rect">
          <a:avLst/>
        </a:prstGeom>
        <a:solidFill>
          <a:schemeClr val="lt1"/>
        </a:solidFill>
        <a:ln w="28575" cmpd="sng">
          <a:solidFill>
            <a:srgbClr val="244D8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ja-JP" altLang="en-US" sz="1200"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「休暇管理」タブ</a:t>
          </a:r>
          <a:endParaRPr lang="en-US" altLang="ja-JP" sz="1200">
            <a:latin typeface="MS PGothic" panose="020B0600070205080204" pitchFamily="34" charset="-128"/>
            <a:ea typeface="MS PGothic" panose="020B0600070205080204" pitchFamily="34" charset="-128"/>
            <a:cs typeface="Arial" panose="020B0604020202020204" pitchFamily="34" charset="0"/>
          </a:endParaRPr>
        </a:p>
        <a:p>
          <a:r>
            <a:rPr lang="ja-JP" altLang="en-US" sz="1200"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からデータを取得</a:t>
          </a:r>
          <a:endParaRPr lang="de-DE" sz="1200">
            <a:latin typeface="MS PGothic" panose="020B0600070205080204" pitchFamily="34" charset="-128"/>
            <a:ea typeface="MS PGothic" panose="020B060007020508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393469</xdr:colOff>
      <xdr:row>18</xdr:row>
      <xdr:rowOff>95191</xdr:rowOff>
    </xdr:from>
    <xdr:to>
      <xdr:col>6</xdr:col>
      <xdr:colOff>397823</xdr:colOff>
      <xdr:row>19</xdr:row>
      <xdr:rowOff>64711</xdr:rowOff>
    </xdr:to>
    <xdr:cxnSp macro="">
      <xdr:nvCxnSpPr>
        <xdr:cNvPr id="8" name="Gerade Verbindung mit Pfeil 7">
          <a:extLst>
            <a:ext uri="{FF2B5EF4-FFF2-40B4-BE49-F238E27FC236}">
              <a16:creationId xmlns:a16="http://schemas.microsoft.com/office/drawing/2014/main" id="{F043C370-6007-44A0-A0F5-16A3DC877648}"/>
            </a:ext>
          </a:extLst>
        </xdr:cNvPr>
        <xdr:cNvCxnSpPr/>
      </xdr:nvCxnSpPr>
      <xdr:spPr>
        <a:xfrm flipH="1" flipV="1">
          <a:off x="4889269" y="3414124"/>
          <a:ext cx="4354" cy="164254"/>
        </a:xfrm>
        <a:prstGeom prst="straightConnector1">
          <a:avLst/>
        </a:prstGeom>
        <a:ln w="28575">
          <a:solidFill>
            <a:srgbClr val="244D80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728848</xdr:colOff>
      <xdr:row>22</xdr:row>
      <xdr:rowOff>121714</xdr:rowOff>
    </xdr:from>
    <xdr:to>
      <xdr:col>6</xdr:col>
      <xdr:colOff>254001</xdr:colOff>
      <xdr:row>25</xdr:row>
      <xdr:rowOff>2</xdr:rowOff>
    </xdr:to>
    <xdr:sp macro="" textlink="">
      <xdr:nvSpPr>
        <xdr:cNvPr id="18" name="Textfeld 17">
          <a:extLst>
            <a:ext uri="{FF2B5EF4-FFF2-40B4-BE49-F238E27FC236}">
              <a16:creationId xmlns:a16="http://schemas.microsoft.com/office/drawing/2014/main" id="{0B56AA3E-16E7-4DEC-B629-EE1749E14234}"/>
            </a:ext>
          </a:extLst>
        </xdr:cNvPr>
        <xdr:cNvSpPr txBox="1"/>
      </xdr:nvSpPr>
      <xdr:spPr>
        <a:xfrm>
          <a:off x="5046848" y="5063169"/>
          <a:ext cx="1822698" cy="536378"/>
        </a:xfrm>
        <a:prstGeom prst="rect">
          <a:avLst/>
        </a:prstGeom>
        <a:solidFill>
          <a:schemeClr val="lt1"/>
        </a:solidFill>
        <a:ln w="28575" cmpd="sng">
          <a:solidFill>
            <a:srgbClr val="244D8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ja-JP" sz="1200"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1</a:t>
          </a:r>
          <a:r>
            <a:rPr lang="ja-JP" altLang="en-US" sz="1200"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ヶ月の労働時間の合計</a:t>
          </a:r>
          <a:endParaRPr lang="en-US" altLang="ja-JP" sz="1200">
            <a:latin typeface="MS PGothic" panose="020B0600070205080204" pitchFamily="34" charset="-128"/>
            <a:ea typeface="MS PGothic" panose="020B0600070205080204" pitchFamily="34" charset="-128"/>
            <a:cs typeface="Arial" panose="020B0604020202020204" pitchFamily="34" charset="0"/>
          </a:endParaRPr>
        </a:p>
        <a:p>
          <a:r>
            <a:rPr lang="ja-JP" altLang="en-US" sz="1200"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（欠勤を除く）</a:t>
          </a:r>
          <a:endParaRPr lang="de-DE" sz="1200">
            <a:latin typeface="MS PGothic" panose="020B0600070205080204" pitchFamily="34" charset="-128"/>
            <a:ea typeface="MS PGothic" panose="020B060007020508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530031</xdr:colOff>
      <xdr:row>18</xdr:row>
      <xdr:rowOff>93134</xdr:rowOff>
    </xdr:from>
    <xdr:to>
      <xdr:col>5</xdr:col>
      <xdr:colOff>533400</xdr:colOff>
      <xdr:row>22</xdr:row>
      <xdr:rowOff>130026</xdr:rowOff>
    </xdr:to>
    <xdr:cxnSp macro="">
      <xdr:nvCxnSpPr>
        <xdr:cNvPr id="19" name="Gerade Verbindung mit Pfeil 18">
          <a:extLst>
            <a:ext uri="{FF2B5EF4-FFF2-40B4-BE49-F238E27FC236}">
              <a16:creationId xmlns:a16="http://schemas.microsoft.com/office/drawing/2014/main" id="{2E7530F3-4356-4271-B560-82A3006C2E03}"/>
            </a:ext>
          </a:extLst>
        </xdr:cNvPr>
        <xdr:cNvCxnSpPr/>
      </xdr:nvCxnSpPr>
      <xdr:spPr>
        <a:xfrm flipV="1">
          <a:off x="3992898" y="3412067"/>
          <a:ext cx="3369" cy="815826"/>
        </a:xfrm>
        <a:prstGeom prst="straightConnector1">
          <a:avLst/>
        </a:prstGeom>
        <a:ln w="28575">
          <a:solidFill>
            <a:srgbClr val="244D80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207913</xdr:colOff>
      <xdr:row>19</xdr:row>
      <xdr:rowOff>60599</xdr:rowOff>
    </xdr:from>
    <xdr:to>
      <xdr:col>10</xdr:col>
      <xdr:colOff>230905</xdr:colOff>
      <xdr:row>21</xdr:row>
      <xdr:rowOff>207818</xdr:rowOff>
    </xdr:to>
    <xdr:sp macro="" textlink="">
      <xdr:nvSpPr>
        <xdr:cNvPr id="21" name="Textfeld 20">
          <a:extLst>
            <a:ext uri="{FF2B5EF4-FFF2-40B4-BE49-F238E27FC236}">
              <a16:creationId xmlns:a16="http://schemas.microsoft.com/office/drawing/2014/main" id="{63D154F6-F905-448F-880D-30C7B2504074}"/>
            </a:ext>
          </a:extLst>
        </xdr:cNvPr>
        <xdr:cNvSpPr txBox="1"/>
      </xdr:nvSpPr>
      <xdr:spPr>
        <a:xfrm>
          <a:off x="8578368" y="4343963"/>
          <a:ext cx="1454628" cy="585946"/>
        </a:xfrm>
        <a:prstGeom prst="rect">
          <a:avLst/>
        </a:prstGeom>
        <a:solidFill>
          <a:schemeClr val="lt1"/>
        </a:solidFill>
        <a:ln w="28575" cmpd="sng">
          <a:solidFill>
            <a:srgbClr val="244D8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ja-JP" altLang="en-US" sz="1200"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「スケジュール」タブ</a:t>
          </a:r>
          <a:endParaRPr lang="en-US" altLang="ja-JP" sz="1200">
            <a:latin typeface="MS PGothic" panose="020B0600070205080204" pitchFamily="34" charset="-128"/>
            <a:ea typeface="MS PGothic" panose="020B0600070205080204" pitchFamily="34" charset="-128"/>
            <a:cs typeface="Arial" panose="020B0604020202020204" pitchFamily="34" charset="0"/>
          </a:endParaRPr>
        </a:p>
        <a:p>
          <a:r>
            <a:rPr lang="ja-JP" altLang="en-US" sz="1200"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からデータを取得</a:t>
          </a:r>
          <a:endParaRPr lang="de-DE" altLang="ja-JP" sz="1200">
            <a:latin typeface="MS PGothic" panose="020B0600070205080204" pitchFamily="34" charset="-128"/>
            <a:ea typeface="MS PGothic" panose="020B060007020508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947650</xdr:colOff>
      <xdr:row>18</xdr:row>
      <xdr:rowOff>95191</xdr:rowOff>
    </xdr:from>
    <xdr:to>
      <xdr:col>8</xdr:col>
      <xdr:colOff>952004</xdr:colOff>
      <xdr:row>19</xdr:row>
      <xdr:rowOff>64711</xdr:rowOff>
    </xdr:to>
    <xdr:cxnSp macro="">
      <xdr:nvCxnSpPr>
        <xdr:cNvPr id="22" name="Gerade Verbindung mit Pfeil 21">
          <a:extLst>
            <a:ext uri="{FF2B5EF4-FFF2-40B4-BE49-F238E27FC236}">
              <a16:creationId xmlns:a16="http://schemas.microsoft.com/office/drawing/2014/main" id="{0448C552-60ED-42DB-8591-C3D533CD6005}"/>
            </a:ext>
          </a:extLst>
        </xdr:cNvPr>
        <xdr:cNvCxnSpPr/>
      </xdr:nvCxnSpPr>
      <xdr:spPr>
        <a:xfrm flipH="1" flipV="1">
          <a:off x="7035183" y="3414124"/>
          <a:ext cx="4354" cy="164254"/>
        </a:xfrm>
        <a:prstGeom prst="straightConnector1">
          <a:avLst/>
        </a:prstGeom>
        <a:ln w="28575">
          <a:solidFill>
            <a:srgbClr val="244D80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392542</xdr:colOff>
      <xdr:row>19</xdr:row>
      <xdr:rowOff>66463</xdr:rowOff>
    </xdr:from>
    <xdr:to>
      <xdr:col>12</xdr:col>
      <xdr:colOff>761997</xdr:colOff>
      <xdr:row>22</xdr:row>
      <xdr:rowOff>46181</xdr:rowOff>
    </xdr:to>
    <xdr:sp macro="" textlink="">
      <xdr:nvSpPr>
        <xdr:cNvPr id="23" name="Textfeld 22">
          <a:extLst>
            <a:ext uri="{FF2B5EF4-FFF2-40B4-BE49-F238E27FC236}">
              <a16:creationId xmlns:a16="http://schemas.microsoft.com/office/drawing/2014/main" id="{D9738647-98E5-45C0-9FC4-5E6B9EBFF586}"/>
            </a:ext>
          </a:extLst>
        </xdr:cNvPr>
        <xdr:cNvSpPr txBox="1"/>
      </xdr:nvSpPr>
      <xdr:spPr>
        <a:xfrm>
          <a:off x="12422906" y="4349827"/>
          <a:ext cx="1385455" cy="637809"/>
        </a:xfrm>
        <a:prstGeom prst="rect">
          <a:avLst/>
        </a:prstGeom>
        <a:solidFill>
          <a:schemeClr val="lt1"/>
        </a:solidFill>
        <a:ln w="28575" cmpd="sng">
          <a:solidFill>
            <a:srgbClr val="244D8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ja-JP" altLang="en-US" sz="1200"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「休暇管理」タブ</a:t>
          </a:r>
          <a:endParaRPr lang="en-US" altLang="ja-JP" sz="1200">
            <a:latin typeface="MS PGothic" panose="020B0600070205080204" pitchFamily="34" charset="-128"/>
            <a:ea typeface="MS PGothic" panose="020B0600070205080204" pitchFamily="34" charset="-128"/>
            <a:cs typeface="Arial" panose="020B0604020202020204" pitchFamily="34" charset="0"/>
          </a:endParaRPr>
        </a:p>
        <a:p>
          <a:r>
            <a:rPr lang="ja-JP" altLang="en-US" sz="1200"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からデータを取得</a:t>
          </a:r>
          <a:endParaRPr lang="de-DE" altLang="ja-JP" sz="1200">
            <a:latin typeface="MS PGothic" panose="020B0600070205080204" pitchFamily="34" charset="-128"/>
            <a:ea typeface="MS PGothic" panose="020B060007020508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608214</xdr:colOff>
      <xdr:row>18</xdr:row>
      <xdr:rowOff>95191</xdr:rowOff>
    </xdr:from>
    <xdr:to>
      <xdr:col>12</xdr:col>
      <xdr:colOff>612568</xdr:colOff>
      <xdr:row>19</xdr:row>
      <xdr:rowOff>64711</xdr:rowOff>
    </xdr:to>
    <xdr:cxnSp macro="">
      <xdr:nvCxnSpPr>
        <xdr:cNvPr id="24" name="Gerade Verbindung mit Pfeil 23">
          <a:extLst>
            <a:ext uri="{FF2B5EF4-FFF2-40B4-BE49-F238E27FC236}">
              <a16:creationId xmlns:a16="http://schemas.microsoft.com/office/drawing/2014/main" id="{26B62587-D41C-4E4E-BF3E-F825296DE9C2}"/>
            </a:ext>
          </a:extLst>
        </xdr:cNvPr>
        <xdr:cNvCxnSpPr/>
      </xdr:nvCxnSpPr>
      <xdr:spPr>
        <a:xfrm flipH="1" flipV="1">
          <a:off x="9168014" y="3414124"/>
          <a:ext cx="4354" cy="164254"/>
        </a:xfrm>
        <a:prstGeom prst="straightConnector1">
          <a:avLst/>
        </a:prstGeom>
        <a:ln w="28575">
          <a:solidFill>
            <a:srgbClr val="244D80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93134</xdr:colOff>
      <xdr:row>19</xdr:row>
      <xdr:rowOff>121171</xdr:rowOff>
    </xdr:from>
    <xdr:to>
      <xdr:col>9</xdr:col>
      <xdr:colOff>1477617</xdr:colOff>
      <xdr:row>23</xdr:row>
      <xdr:rowOff>104371</xdr:rowOff>
    </xdr:to>
    <xdr:sp macro="" textlink="">
      <xdr:nvSpPr>
        <xdr:cNvPr id="31" name="Textfeld 30">
          <a:extLst>
            <a:ext uri="{FF2B5EF4-FFF2-40B4-BE49-F238E27FC236}">
              <a16:creationId xmlns:a16="http://schemas.microsoft.com/office/drawing/2014/main" id="{CB28F090-C8B0-4119-A95D-389E97B9598E}"/>
            </a:ext>
          </a:extLst>
        </xdr:cNvPr>
        <xdr:cNvSpPr txBox="1"/>
      </xdr:nvSpPr>
      <xdr:spPr>
        <a:xfrm>
          <a:off x="8467514" y="3854971"/>
          <a:ext cx="1384483" cy="745200"/>
        </a:xfrm>
        <a:prstGeom prst="rect">
          <a:avLst/>
        </a:prstGeom>
        <a:solidFill>
          <a:schemeClr val="lt1"/>
        </a:solidFill>
        <a:ln w="28575" cmpd="sng">
          <a:solidFill>
            <a:srgbClr val="244D8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200">
              <a:latin typeface="Arial" panose="020B0604020202020204" pitchFamily="34" charset="0"/>
              <a:cs typeface="Arial" panose="020B0604020202020204" pitchFamily="34" charset="0"/>
            </a:rPr>
            <a:t>Überstunden bis heute</a:t>
          </a:r>
        </a:p>
      </xdr:txBody>
    </xdr:sp>
    <xdr:clientData/>
  </xdr:twoCellAnchor>
  <xdr:twoCellAnchor>
    <xdr:from>
      <xdr:col>9</xdr:col>
      <xdr:colOff>1068493</xdr:colOff>
      <xdr:row>18</xdr:row>
      <xdr:rowOff>95193</xdr:rowOff>
    </xdr:from>
    <xdr:to>
      <xdr:col>9</xdr:col>
      <xdr:colOff>1068493</xdr:colOff>
      <xdr:row>19</xdr:row>
      <xdr:rowOff>67734</xdr:rowOff>
    </xdr:to>
    <xdr:cxnSp macro="">
      <xdr:nvCxnSpPr>
        <xdr:cNvPr id="32" name="Gerade Verbindung mit Pfeil 31">
          <a:extLst>
            <a:ext uri="{FF2B5EF4-FFF2-40B4-BE49-F238E27FC236}">
              <a16:creationId xmlns:a16="http://schemas.microsoft.com/office/drawing/2014/main" id="{52400636-AA15-4D5E-90C8-B86546CCB68E}"/>
            </a:ext>
          </a:extLst>
        </xdr:cNvPr>
        <xdr:cNvCxnSpPr/>
      </xdr:nvCxnSpPr>
      <xdr:spPr>
        <a:xfrm flipV="1">
          <a:off x="5267960" y="3701993"/>
          <a:ext cx="0" cy="167274"/>
        </a:xfrm>
        <a:prstGeom prst="straightConnector1">
          <a:avLst/>
        </a:prstGeom>
        <a:ln w="28575">
          <a:solidFill>
            <a:srgbClr val="244D80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608214</xdr:colOff>
      <xdr:row>18</xdr:row>
      <xdr:rowOff>95191</xdr:rowOff>
    </xdr:from>
    <xdr:to>
      <xdr:col>11</xdr:col>
      <xdr:colOff>612568</xdr:colOff>
      <xdr:row>19</xdr:row>
      <xdr:rowOff>64711</xdr:rowOff>
    </xdr:to>
    <xdr:cxnSp macro="">
      <xdr:nvCxnSpPr>
        <xdr:cNvPr id="33" name="Gerade Verbindung mit Pfeil 32">
          <a:extLst>
            <a:ext uri="{FF2B5EF4-FFF2-40B4-BE49-F238E27FC236}">
              <a16:creationId xmlns:a16="http://schemas.microsoft.com/office/drawing/2014/main" id="{058B3422-D285-466C-94FC-F477B6A84DBE}"/>
            </a:ext>
          </a:extLst>
        </xdr:cNvPr>
        <xdr:cNvCxnSpPr/>
      </xdr:nvCxnSpPr>
      <xdr:spPr>
        <a:xfrm flipH="1" flipV="1">
          <a:off x="12495414" y="3803591"/>
          <a:ext cx="4354" cy="164253"/>
        </a:xfrm>
        <a:prstGeom prst="straightConnector1">
          <a:avLst/>
        </a:prstGeom>
        <a:ln w="28575">
          <a:solidFill>
            <a:srgbClr val="244D80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33868</xdr:colOff>
      <xdr:row>3</xdr:row>
      <xdr:rowOff>42332</xdr:rowOff>
    </xdr:from>
    <xdr:to>
      <xdr:col>1</xdr:col>
      <xdr:colOff>1481668</xdr:colOff>
      <xdr:row>3</xdr:row>
      <xdr:rowOff>375729</xdr:rowOff>
    </xdr:to>
    <xdr:pic>
      <xdr:nvPicPr>
        <xdr:cNvPr id="36" name="Grafik 35">
          <a:extLst>
            <a:ext uri="{FF2B5EF4-FFF2-40B4-BE49-F238E27FC236}">
              <a16:creationId xmlns:a16="http://schemas.microsoft.com/office/drawing/2014/main" id="{B22B788E-83E1-45A6-9553-F260475E03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3268" y="626532"/>
          <a:ext cx="1447800" cy="3333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490219</xdr:colOff>
      <xdr:row>2</xdr:row>
      <xdr:rowOff>53339</xdr:rowOff>
    </xdr:from>
    <xdr:to>
      <xdr:col>20</xdr:col>
      <xdr:colOff>108856</xdr:colOff>
      <xdr:row>6</xdr:row>
      <xdr:rowOff>38100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B7688594-FD46-49FE-B121-F67405015E35}"/>
            </a:ext>
          </a:extLst>
        </xdr:cNvPr>
        <xdr:cNvSpPr txBox="1"/>
      </xdr:nvSpPr>
      <xdr:spPr>
        <a:xfrm>
          <a:off x="13596619" y="485139"/>
          <a:ext cx="4876437" cy="848361"/>
        </a:xfrm>
        <a:prstGeom prst="rect">
          <a:avLst/>
        </a:prstGeom>
        <a:solidFill>
          <a:schemeClr val="lt1"/>
        </a:solidFill>
        <a:ln w="28575" cmpd="sng">
          <a:solidFill>
            <a:srgbClr val="244D8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ja-JP" altLang="en-US" sz="1200"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リストは</a:t>
          </a:r>
          <a:r>
            <a:rPr lang="ja-JP" altLang="en-US" sz="1200" b="0" i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必要に応じて下方向に拡張できますが、その</a:t>
          </a:r>
          <a:r>
            <a:rPr lang="ja-JP" altLang="en-US" sz="12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際は、既存の行をコピー＆ペーストしてからデータを入力することをおすすめます。</a:t>
          </a:r>
          <a:endParaRPr lang="en-US" altLang="ja-JP" sz="1200" b="0" i="0" u="none" strike="noStrike">
            <a:solidFill>
              <a:schemeClr val="dk1"/>
            </a:solidFill>
            <a:effectLst/>
            <a:latin typeface="MS PGothic" panose="020B0600070205080204" pitchFamily="34" charset="-128"/>
            <a:ea typeface="MS PGothic" panose="020B0600070205080204" pitchFamily="34" charset="-128"/>
            <a:cs typeface="+mn-cs"/>
          </a:endParaRPr>
        </a:p>
        <a:p>
          <a:r>
            <a:rPr lang="ja-JP" altLang="en-US" sz="1200" b="0" i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また、「合計」の行の前に追加するようご注意ください。</a:t>
          </a:r>
          <a:endParaRPr lang="ja-JP" altLang="en-US" sz="1200" b="0" i="0" u="none" strike="noStrike">
            <a:solidFill>
              <a:schemeClr val="dk1"/>
            </a:solidFill>
            <a:effectLst/>
            <a:latin typeface="MS PGothic" panose="020B0600070205080204" pitchFamily="34" charset="-128"/>
            <a:ea typeface="MS PGothic" panose="020B0600070205080204" pitchFamily="34" charset="-128"/>
            <a:cs typeface="+mn-cs"/>
          </a:endParaRPr>
        </a:p>
      </xdr:txBody>
    </xdr:sp>
    <xdr:clientData/>
  </xdr:twoCellAnchor>
  <xdr:twoCellAnchor>
    <xdr:from>
      <xdr:col>1</xdr:col>
      <xdr:colOff>65315</xdr:colOff>
      <xdr:row>13</xdr:row>
      <xdr:rowOff>61502</xdr:rowOff>
    </xdr:from>
    <xdr:to>
      <xdr:col>12</xdr:col>
      <xdr:colOff>751114</xdr:colOff>
      <xdr:row>40</xdr:row>
      <xdr:rowOff>76200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C5486056-E011-40A1-BBC8-5928850416E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0</xdr:colOff>
      <xdr:row>13</xdr:row>
      <xdr:rowOff>105725</xdr:rowOff>
    </xdr:from>
    <xdr:to>
      <xdr:col>12</xdr:col>
      <xdr:colOff>653143</xdr:colOff>
      <xdr:row>15</xdr:row>
      <xdr:rowOff>27279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8DBA8D4-7B6D-4626-8F69-CD542102ED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41229" y="2848925"/>
          <a:ext cx="1447800" cy="3333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65315</xdr:colOff>
      <xdr:row>13</xdr:row>
      <xdr:rowOff>61502</xdr:rowOff>
    </xdr:from>
    <xdr:to>
      <xdr:col>12</xdr:col>
      <xdr:colOff>762000</xdr:colOff>
      <xdr:row>39</xdr:row>
      <xdr:rowOff>10884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CA9AD54D-9EEF-4760-A8EE-337CACDD15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203200</xdr:colOff>
      <xdr:row>1</xdr:row>
      <xdr:rowOff>0</xdr:rowOff>
    </xdr:from>
    <xdr:to>
      <xdr:col>19</xdr:col>
      <xdr:colOff>698137</xdr:colOff>
      <xdr:row>5</xdr:row>
      <xdr:rowOff>175261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8D777047-0D88-364A-84F6-A1F72534F664}"/>
            </a:ext>
          </a:extLst>
        </xdr:cNvPr>
        <xdr:cNvSpPr txBox="1"/>
      </xdr:nvSpPr>
      <xdr:spPr>
        <a:xfrm>
          <a:off x="13995400" y="228600"/>
          <a:ext cx="4876437" cy="848361"/>
        </a:xfrm>
        <a:prstGeom prst="rect">
          <a:avLst/>
        </a:prstGeom>
        <a:solidFill>
          <a:schemeClr val="lt1"/>
        </a:solidFill>
        <a:ln w="28575" cmpd="sng">
          <a:solidFill>
            <a:srgbClr val="244D8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ja-JP" altLang="en-US" sz="1200"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リストは</a:t>
          </a:r>
          <a:r>
            <a:rPr lang="ja-JP" altLang="en-US" sz="1200" b="0" i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必要に応じて下方向に拡張できますが、その</a:t>
          </a:r>
          <a:r>
            <a:rPr lang="ja-JP" altLang="en-US" sz="12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際は、既存の行をコピー＆ペーストしてからデータを入力することをおすすめます。</a:t>
          </a:r>
          <a:endParaRPr lang="en-US" altLang="ja-JP" sz="1200" b="0" i="0" u="none" strike="noStrike">
            <a:solidFill>
              <a:schemeClr val="dk1"/>
            </a:solidFill>
            <a:effectLst/>
            <a:latin typeface="MS PGothic" panose="020B0600070205080204" pitchFamily="34" charset="-128"/>
            <a:ea typeface="MS PGothic" panose="020B0600070205080204" pitchFamily="34" charset="-128"/>
            <a:cs typeface="+mn-cs"/>
          </a:endParaRPr>
        </a:p>
        <a:p>
          <a:r>
            <a:rPr lang="ja-JP" altLang="en-US" sz="1200" b="0" i="0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Arial" panose="020B0604020202020204" pitchFamily="34" charset="0"/>
            </a:rPr>
            <a:t>また、「合計」の行の前に追加するようご注意ください。</a:t>
          </a:r>
          <a:endParaRPr lang="ja-JP" altLang="en-US" sz="1200" b="0" i="0" u="none" strike="noStrike">
            <a:solidFill>
              <a:schemeClr val="dk1"/>
            </a:solidFill>
            <a:effectLst/>
            <a:latin typeface="MS PGothic" panose="020B0600070205080204" pitchFamily="34" charset="-128"/>
            <a:ea typeface="MS PGothic" panose="020B0600070205080204" pitchFamily="34" charset="-128"/>
            <a:cs typeface="+mn-cs"/>
          </a:endParaRPr>
        </a:p>
      </xdr:txBody>
    </xdr:sp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0.83353</cdr:x>
      <cdr:y>0.01134</cdr:y>
    </cdr:from>
    <cdr:to>
      <cdr:x>0.98693</cdr:x>
      <cdr:y>0.0858</cdr:y>
    </cdr:to>
    <cdr:pic>
      <cdr:nvPicPr>
        <cdr:cNvPr id="2" name="Grafik 1">
          <a:extLst xmlns:a="http://schemas.openxmlformats.org/drawingml/2006/main">
            <a:ext uri="{FF2B5EF4-FFF2-40B4-BE49-F238E27FC236}">
              <a16:creationId xmlns:a16="http://schemas.microsoft.com/office/drawing/2014/main" id="{18DBA8D4-7B6D-4626-8F69-CD542102ED4C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866743" y="50800"/>
          <a:ext cx="1447800" cy="333397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381000</xdr:colOff>
      <xdr:row>4</xdr:row>
      <xdr:rowOff>38100</xdr:rowOff>
    </xdr:from>
    <xdr:to>
      <xdr:col>9</xdr:col>
      <xdr:colOff>30480</xdr:colOff>
      <xdr:row>9</xdr:row>
      <xdr:rowOff>127000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F1C1EE31-A443-49E5-B92C-CC92674CE04A}"/>
            </a:ext>
          </a:extLst>
        </xdr:cNvPr>
        <xdr:cNvSpPr txBox="1"/>
      </xdr:nvSpPr>
      <xdr:spPr>
        <a:xfrm>
          <a:off x="6464300" y="850900"/>
          <a:ext cx="4907280" cy="1168400"/>
        </a:xfrm>
        <a:prstGeom prst="rect">
          <a:avLst/>
        </a:prstGeom>
        <a:solidFill>
          <a:schemeClr val="lt1"/>
        </a:solidFill>
        <a:ln w="28575" cmpd="sng">
          <a:solidFill>
            <a:srgbClr val="244D8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200">
              <a:solidFill>
                <a:schemeClr val="dk1"/>
              </a:solidFill>
              <a:latin typeface="MS PGothic" panose="020B0600070205080204" pitchFamily="34" charset="-128"/>
              <a:ea typeface="MS PGothic" panose="020B0600070205080204" pitchFamily="34" charset="-128"/>
              <a:cs typeface="+mn-cs"/>
              <a:sym typeface="Arial"/>
            </a:rPr>
            <a:t>「国民の祝日に関する法律」に基づいた全国の祝日が掲載されています。</a:t>
          </a:r>
          <a:endParaRPr lang="en-US" altLang="ja-JP" sz="1200">
            <a:solidFill>
              <a:schemeClr val="dk1"/>
            </a:solidFill>
            <a:latin typeface="MS PGothic" panose="020B0600070205080204" pitchFamily="34" charset="-128"/>
            <a:ea typeface="MS PGothic" panose="020B0600070205080204" pitchFamily="34" charset="-128"/>
            <a:cs typeface="+mn-cs"/>
            <a:sym typeface="Arial"/>
          </a:endParaRPr>
        </a:p>
        <a:p>
          <a:pPr rtl="0"/>
          <a:r>
            <a:rPr lang="ja-JP" altLang="en-US" sz="12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都道府県の祝日や、職場に適用される休日を入力すると、他のシートにも反映されます。</a:t>
          </a:r>
          <a:endParaRPr lang="es-ES" altLang="ja-JP" sz="1200" b="0" i="0" u="none" strike="noStrike">
            <a:solidFill>
              <a:schemeClr val="dk1"/>
            </a:solidFill>
            <a:effectLst/>
            <a:latin typeface="MS PGothic" panose="020B0600070205080204" pitchFamily="34" charset="-128"/>
            <a:ea typeface="MS PGothic" panose="020B0600070205080204" pitchFamily="34" charset="-128"/>
            <a:cs typeface="+mn-cs"/>
          </a:endParaRPr>
        </a:p>
        <a:p>
          <a:pPr rtl="0"/>
          <a:endParaRPr lang="ja-JP" altLang="en-US" sz="1200" b="0" i="0" u="none" strike="noStrike">
            <a:solidFill>
              <a:schemeClr val="dk1"/>
            </a:solidFill>
            <a:effectLst/>
            <a:latin typeface="MS PGothic" panose="020B0600070205080204" pitchFamily="34" charset="-128"/>
            <a:ea typeface="MS PGothic" panose="020B0600070205080204" pitchFamily="34" charset="-128"/>
            <a:cs typeface="+mn-cs"/>
          </a:endParaRPr>
        </a:p>
        <a:p>
          <a:pPr rtl="0"/>
          <a:r>
            <a:rPr lang="ja-JP" altLang="en-US" sz="1200" b="0" i="0" u="none" strike="noStrike">
              <a:solidFill>
                <a:schemeClr val="dk1"/>
              </a:solidFill>
              <a:effectLst/>
              <a:latin typeface="MS PGothic" panose="020B0600070205080204" pitchFamily="34" charset="-128"/>
              <a:ea typeface="MS PGothic" panose="020B0600070205080204" pitchFamily="34" charset="-128"/>
              <a:cs typeface="+mn-cs"/>
            </a:rPr>
            <a:t>祝日に働く場合、その労働は残業として計算されます。</a:t>
          </a:r>
        </a:p>
      </xdr:txBody>
    </xdr:sp>
    <xdr:clientData/>
  </xdr:twoCellAnchor>
  <xdr:twoCellAnchor editAs="oneCell">
    <xdr:from>
      <xdr:col>3</xdr:col>
      <xdr:colOff>365760</xdr:colOff>
      <xdr:row>1</xdr:row>
      <xdr:rowOff>0</xdr:rowOff>
    </xdr:from>
    <xdr:to>
      <xdr:col>5</xdr:col>
      <xdr:colOff>228600</xdr:colOff>
      <xdr:row>2</xdr:row>
      <xdr:rowOff>147977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2BE5CEA8-22DF-423A-A63C-8BCE6F09E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23460" y="175260"/>
          <a:ext cx="1447800" cy="333397"/>
        </a:xfrm>
        <a:prstGeom prst="rect">
          <a:avLst/>
        </a:prstGeom>
      </xdr:spPr>
    </xdr:pic>
    <xdr:clientData/>
  </xdr:twoCellAnchor>
</xdr:wsDr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Datenschnitt_Projekt1" xr10:uid="{D7CEC37A-72D8-4870-A628-0697944F9DC7}" sourceName="項目">
  <extLst>
    <x:ext xmlns:x15="http://schemas.microsoft.com/office/spreadsheetml/2010/11/main" uri="{2F2917AC-EB37-4324-AD4E-5DD8C200BD13}">
      <x15:tableSlicerCache tableId="1" column="7"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Datenschnitt_Monat" xr10:uid="{3BB3163E-03A3-43DA-B26C-7C51CE0A585C}" sourceName="月">
  <extLst>
    <x:ext xmlns:x15="http://schemas.microsoft.com/office/spreadsheetml/2010/11/main" uri="{2F2917AC-EB37-4324-AD4E-5DD8C200BD13}">
      <x15:tableSlicerCache tableId="1" column="13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Projekt 1" xr10:uid="{49EE516A-E694-4A42-89C4-9C5396FA33B0}" cache="Datenschnitt_Projekt1" caption="項目" rowHeight="234950"/>
  <slicer name="Monat" xr10:uid="{93EF8D36-0115-4ED9-9644-D327C82D37D2}" cache="Datenschnitt_Monat" caption="月" rowHeight="234949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9A5550E-4063-41F8-8757-E00B938590C3}" name="Tabelle1" displayName="Tabelle1" ref="A7:T103" totalsRowShown="0" headerRowDxfId="22" dataDxfId="21" headerRowCellStyle="Standard 2">
  <autoFilter ref="A7:T103" xr:uid="{09A5550E-4063-41F8-8757-E00B938590C3}"/>
  <tableColumns count="20">
    <tableColumn id="14" xr3:uid="{AD6B2C64-2FFC-4F61-B7DF-0346867ABB57}" name="w" dataDxfId="20">
      <calculatedColumnFormula>IF(Tabelle1[[#This Row],[日付]]=0,"",
IF(WEEKDAY(B8)=1,"日",
IF(WEEKDAY(B8)=2,"月",
IF(WEEKDAY(B8)=3,"火",
IF(WEEKDAY(B8)=4,"水",
IF(WEEKDAY(B8)=5,"木",
IF(WEEKDAY(B8)=6,"金",
IF(WEEKDAY(B8)=7,"土"))))))))</calculatedColumnFormula>
    </tableColumn>
    <tableColumn id="1" xr3:uid="{EDC7AEBC-16A5-4458-A942-CDD8E289EE47}" name="日付" dataDxfId="19"/>
    <tableColumn id="2" xr3:uid="{4D58EA77-5D38-4EF8-8781-EDC85B1DA53D}" name="時" dataDxfId="18"/>
    <tableColumn id="3" xr3:uid="{18316345-1F47-427F-9531-B9B13DAA5C63}" name="分" dataDxfId="17"/>
    <tableColumn id="4" xr3:uid="{B5860453-57A1-45A2-ABDB-E021ABE444FD}" name="時2" dataDxfId="16"/>
    <tableColumn id="5" xr3:uid="{0997F143-FDBF-454A-BAAD-C10E72725CAF}" name="分3" dataDxfId="15"/>
    <tableColumn id="6" xr3:uid="{6440B89C-CD6A-4FDC-8986-B0B0A3D91E1F}" name="労働時間" dataDxfId="14">
      <calculatedColumnFormula>ROUND((E8*60+F8-C8*60-D8)/60,2)</calculatedColumnFormula>
    </tableColumn>
    <tableColumn id="21" xr3:uid="{77AEC116-8EF6-4A60-9BD1-06D1883716BA}" name="1日の労働時間" dataDxfId="13">
      <calculatedColumnFormula>SUMIF(Tabelle1[日付],Tabelle1[[#This Row],[日付]],Tabelle1[労働時間])</calculatedColumnFormula>
    </tableColumn>
    <tableColumn id="19" xr3:uid="{F02AFE32-66C2-4358-9E8D-06920AA9C2F5}" name="1日の休憩時間" dataDxfId="12">
      <calculatedColumnFormula array="1">24*(MAX(IF(EXACT(Tabelle1[日付],Tabelle1[[#This Row],[日付]]),Tabelle1[終了時間]))
-MIN(IF(EXACT(Tabelle1[日付],Tabelle1[[#This Row],[日付]]),Tabelle1[Start])))
-SUMIF(Tabelle1[日付],Tabelle1[[#This Row],[日付]],Tabelle1[労働時間])</calculatedColumnFormula>
    </tableColumn>
    <tableColumn id="7" xr3:uid="{74C1D4A6-EDEC-400B-92F9-D1F06E3E3DEF}" name="項目" dataDxfId="11"/>
    <tableColumn id="8" xr3:uid="{57CF8833-C85F-4A3E-AD27-5F54800AD187}" name="業務" dataDxfId="10"/>
    <tableColumn id="9" xr3:uid="{46A081F9-1103-4D7D-9804-B65A816AB636}" name="詳細" dataDxfId="9"/>
    <tableColumn id="10" xr3:uid="{460EA8E4-584A-4274-BF88-70D0A4D6C9A6}" name="請求有無" dataDxfId="8">
      <calculatedColumnFormula>IF(J8&lt;&gt;0,VLOOKUP(J8,基本情報!$B$19:$E$26,3,),"")</calculatedColumnFormula>
    </tableColumn>
    <tableColumn id="11" xr3:uid="{95A1CE92-1927-4F63-A67D-2ACF6F4720FC}" name="時間単価" dataDxfId="7">
      <calculatedColumnFormula>IF(AND(J8&lt;&gt;Tabelle1[[#This Row],[請求有無]],M8="有"),VLOOKUP(J8,基本情報!$B$19:$E$26,4,),"")</calculatedColumnFormula>
    </tableColumn>
    <tableColumn id="12" xr3:uid="{ED6AF5C2-4B35-48BE-BAA6-262A65AB4F10}" name="Montant" dataDxfId="6">
      <calculatedColumnFormula>IF(M8="有",N8*G8,"")</calculatedColumnFormula>
    </tableColumn>
    <tableColumn id="13" xr3:uid="{5A712133-0B89-4D10-9758-A3DC0CA360CB}" name="月" dataDxfId="5">
      <calculatedColumnFormula>MONTH(B8)</calculatedColumnFormula>
    </tableColumn>
    <tableColumn id="15" xr3:uid="{EEF51C0B-A77A-4064-8019-3F8CC75E0BF1}" name="Start" dataDxfId="4">
      <calculatedColumnFormula>TIME(Tabelle1[[#This Row],[時]],Tabelle1[[#This Row],[分]],)</calculatedColumnFormula>
    </tableColumn>
    <tableColumn id="16" xr3:uid="{D98A5F3B-35C0-41A0-9CE9-FA00A2C68F8A}" name="終了時間" dataDxfId="3">
      <calculatedColumnFormula>TIME(Tabelle1[[#This Row],[時2]],Tabelle1[[#This Row],[分3]],)</calculatedColumnFormula>
    </tableColumn>
    <tableColumn id="18" xr3:uid="{3F16FF91-D08D-4339-B48E-31BF4115F480}" name="休憩時間基準" dataDxfId="2">
      <calculatedColumnFormula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calculatedColumnFormula>
    </tableColumn>
    <tableColumn id="20" xr3:uid="{477BC450-2AA2-469F-85C4-3A31EA4F7790}" name="労働時間基準" dataDxfId="1">
      <calculatedColumnFormula>(Tabelle1[[#This Row],[1日の労働時間]]&gt;基本情報!$D$12)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microsoft.com/office/2007/relationships/slicer" Target="../slicers/slicer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 tint="0.499984740745262"/>
  </sheetPr>
  <dimension ref="B7:G26"/>
  <sheetViews>
    <sheetView showGridLines="0" tabSelected="1" zoomScaleNormal="100" workbookViewId="0">
      <selection activeCell="Q18" sqref="Q18"/>
    </sheetView>
  </sheetViews>
  <sheetFormatPr baseColWidth="10" defaultColWidth="8.83203125" defaultRowHeight="15" x14ac:dyDescent="0.15"/>
  <cols>
    <col min="1" max="1" width="8.83203125" style="2"/>
    <col min="2" max="2" width="14.1640625" style="2" bestFit="1" customWidth="1"/>
    <col min="3" max="3" width="14.1640625" style="2" customWidth="1"/>
    <col min="4" max="4" width="13.83203125" style="2" customWidth="1"/>
    <col min="5" max="5" width="18.5" style="2" customWidth="1"/>
    <col min="6" max="6" width="8.83203125" style="2"/>
    <col min="7" max="7" width="19" style="2" bestFit="1" customWidth="1"/>
    <col min="8" max="16384" width="8.83203125" style="2"/>
  </cols>
  <sheetData>
    <row r="7" spans="2:4" x14ac:dyDescent="0.15">
      <c r="B7" s="98" t="s">
        <v>5</v>
      </c>
      <c r="C7" s="99"/>
      <c r="D7" s="86" t="s">
        <v>57</v>
      </c>
    </row>
    <row r="8" spans="2:4" x14ac:dyDescent="0.15">
      <c r="B8" s="98" t="s">
        <v>25</v>
      </c>
      <c r="C8" s="99"/>
      <c r="D8" s="41">
        <v>2023</v>
      </c>
    </row>
    <row r="9" spans="2:4" x14ac:dyDescent="0.15">
      <c r="B9" s="98" t="s">
        <v>93</v>
      </c>
      <c r="C9" s="99"/>
      <c r="D9" s="41">
        <v>20</v>
      </c>
    </row>
    <row r="10" spans="2:4" x14ac:dyDescent="0.15">
      <c r="B10" s="100" t="s">
        <v>26</v>
      </c>
      <c r="C10" s="101"/>
      <c r="D10" s="41">
        <v>7.5</v>
      </c>
    </row>
    <row r="11" spans="2:4" ht="4.25" customHeight="1" x14ac:dyDescent="0.15"/>
    <row r="12" spans="2:4" x14ac:dyDescent="0.15">
      <c r="B12" s="98" t="s">
        <v>58</v>
      </c>
      <c r="C12" s="99"/>
      <c r="D12" s="42">
        <v>8</v>
      </c>
    </row>
    <row r="13" spans="2:4" x14ac:dyDescent="0.15">
      <c r="B13" s="98" t="s">
        <v>96</v>
      </c>
      <c r="C13" s="99"/>
      <c r="D13" s="42">
        <v>0.75</v>
      </c>
    </row>
    <row r="14" spans="2:4" x14ac:dyDescent="0.15">
      <c r="B14" s="98" t="s">
        <v>95</v>
      </c>
      <c r="C14" s="99"/>
      <c r="D14" s="42">
        <v>1</v>
      </c>
    </row>
    <row r="18" spans="2:7" x14ac:dyDescent="0.15">
      <c r="B18" s="38" t="s">
        <v>112</v>
      </c>
      <c r="C18" s="1" t="s">
        <v>111</v>
      </c>
      <c r="D18" s="1" t="s">
        <v>115</v>
      </c>
      <c r="E18" s="39" t="s">
        <v>54</v>
      </c>
      <c r="G18" s="40" t="s">
        <v>64</v>
      </c>
    </row>
    <row r="19" spans="2:7" ht="16" x14ac:dyDescent="0.15">
      <c r="B19" s="85" t="s">
        <v>39</v>
      </c>
      <c r="C19" s="44"/>
      <c r="D19" s="86" t="s">
        <v>42</v>
      </c>
      <c r="E19" s="87">
        <v>0</v>
      </c>
      <c r="G19" s="45" t="s">
        <v>50</v>
      </c>
    </row>
    <row r="20" spans="2:7" x14ac:dyDescent="0.15">
      <c r="B20" s="43" t="s">
        <v>40</v>
      </c>
      <c r="C20" s="44"/>
      <c r="D20" s="86" t="s">
        <v>42</v>
      </c>
      <c r="E20" s="87">
        <v>0</v>
      </c>
      <c r="G20" s="45" t="s">
        <v>49</v>
      </c>
    </row>
    <row r="21" spans="2:7" x14ac:dyDescent="0.15">
      <c r="B21" s="43" t="s">
        <v>41</v>
      </c>
      <c r="C21" s="44"/>
      <c r="D21" s="86" t="s">
        <v>42</v>
      </c>
      <c r="E21" s="87">
        <v>0</v>
      </c>
      <c r="G21" s="45" t="s">
        <v>48</v>
      </c>
    </row>
    <row r="22" spans="2:7" x14ac:dyDescent="0.15">
      <c r="B22" s="43" t="s">
        <v>36</v>
      </c>
      <c r="C22" s="44" t="s">
        <v>51</v>
      </c>
      <c r="D22" s="86" t="s">
        <v>44</v>
      </c>
      <c r="E22" s="87">
        <v>5000</v>
      </c>
      <c r="G22" s="45" t="s">
        <v>66</v>
      </c>
    </row>
    <row r="23" spans="2:7" x14ac:dyDescent="0.15">
      <c r="B23" s="43" t="s">
        <v>37</v>
      </c>
      <c r="C23" s="44" t="s">
        <v>52</v>
      </c>
      <c r="D23" s="86" t="s">
        <v>44</v>
      </c>
      <c r="E23" s="87">
        <v>4000</v>
      </c>
      <c r="G23" s="45" t="s">
        <v>47</v>
      </c>
    </row>
    <row r="24" spans="2:7" x14ac:dyDescent="0.15">
      <c r="B24" s="43" t="s">
        <v>38</v>
      </c>
      <c r="C24" s="44" t="s">
        <v>53</v>
      </c>
      <c r="D24" s="86" t="s">
        <v>44</v>
      </c>
      <c r="E24" s="87">
        <v>3000</v>
      </c>
      <c r="G24" s="45" t="s">
        <v>46</v>
      </c>
    </row>
    <row r="25" spans="2:7" x14ac:dyDescent="0.15">
      <c r="B25" s="43"/>
      <c r="C25" s="44"/>
      <c r="D25" s="86"/>
      <c r="E25" s="87"/>
      <c r="G25" s="45"/>
    </row>
    <row r="26" spans="2:7" x14ac:dyDescent="0.15">
      <c r="B26" s="43"/>
      <c r="C26" s="44"/>
      <c r="D26" s="86"/>
      <c r="E26" s="87"/>
      <c r="G26" s="45"/>
    </row>
  </sheetData>
  <mergeCells count="7">
    <mergeCell ref="B13:C13"/>
    <mergeCell ref="B14:C14"/>
    <mergeCell ref="B7:C7"/>
    <mergeCell ref="B8:C8"/>
    <mergeCell ref="B9:C9"/>
    <mergeCell ref="B10:C10"/>
    <mergeCell ref="B12:C12"/>
  </mergeCells>
  <phoneticPr fontId="3" type="noConversion"/>
  <pageMargins left="0.7" right="0.7" top="0.75" bottom="0.75" header="0.3" footer="0.3"/>
  <pageSetup paperSize="9" scale="5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E913A3-881B-4112-90FF-BBE5D9A30422}">
  <sheetPr>
    <tabColor rgb="FFEF9D3E"/>
    <outlinePr summaryBelow="0" summaryRight="0"/>
    <pageSetUpPr fitToPage="1"/>
  </sheetPr>
  <dimension ref="A2:T105"/>
  <sheetViews>
    <sheetView showGridLines="0" zoomScaleNormal="85" workbookViewId="0">
      <pane ySplit="7" topLeftCell="A8" activePane="bottomLeft" state="frozen"/>
      <selection activeCell="B5" sqref="B5"/>
      <selection pane="bottomLeft" activeCell="K32" sqref="K32"/>
    </sheetView>
  </sheetViews>
  <sheetFormatPr baseColWidth="10" defaultColWidth="11.5" defaultRowHeight="15" outlineLevelCol="1" x14ac:dyDescent="0.15"/>
  <cols>
    <col min="1" max="1" width="5" style="2" customWidth="1"/>
    <col min="2" max="2" width="15.33203125" style="2" bestFit="1" customWidth="1"/>
    <col min="3" max="3" width="6.33203125" style="2" customWidth="1"/>
    <col min="4" max="4" width="6.1640625" style="2" customWidth="1"/>
    <col min="5" max="5" width="6.33203125" style="2" customWidth="1"/>
    <col min="6" max="6" width="7.83203125" style="2" customWidth="1"/>
    <col min="7" max="7" width="13.6640625" style="3" customWidth="1"/>
    <col min="8" max="8" width="16.1640625" style="3" customWidth="1"/>
    <col min="9" max="9" width="16.5" style="3" customWidth="1"/>
    <col min="10" max="10" width="13.83203125" style="2" customWidth="1"/>
    <col min="11" max="11" width="17.83203125" style="2" bestFit="1" customWidth="1"/>
    <col min="12" max="12" width="44.5" style="2" customWidth="1"/>
    <col min="13" max="13" width="13.83203125" style="3" customWidth="1"/>
    <col min="14" max="14" width="17.1640625" style="2" bestFit="1" customWidth="1"/>
    <col min="15" max="15" width="13.6640625" style="2" customWidth="1"/>
    <col min="16" max="16" width="8.33203125" style="2" customWidth="1" collapsed="1"/>
    <col min="17" max="17" width="6.1640625" style="5" hidden="1" customWidth="1" outlineLevel="1"/>
    <col min="18" max="18" width="8.6640625" style="5" hidden="1" customWidth="1" outlineLevel="1"/>
    <col min="19" max="19" width="14.83203125" style="5" hidden="1" customWidth="1" outlineLevel="1"/>
    <col min="20" max="20" width="30.83203125" style="5" hidden="1" customWidth="1" outlineLevel="1"/>
    <col min="21" max="16384" width="11.5" style="2"/>
  </cols>
  <sheetData>
    <row r="2" spans="1:20" x14ac:dyDescent="0.15">
      <c r="M2" s="1" t="s">
        <v>60</v>
      </c>
      <c r="N2" s="4" t="str">
        <f>TEXT(MIN(Tabelle1[日付]),"mm/dd/yyyy")&amp;" - "&amp;TEXT(MAX(Tabelle1[日付]),"mm/dd/yyyy ")</f>
        <v xml:space="preserve">04/03/2023 - 05/30/2023 </v>
      </c>
    </row>
    <row r="3" spans="1:20" x14ac:dyDescent="0.15">
      <c r="M3" s="1" t="s">
        <v>61</v>
      </c>
      <c r="N3" s="2" t="str">
        <f>基本情報!D7</f>
        <v>山田花子</v>
      </c>
    </row>
    <row r="4" spans="1:20" ht="12" customHeight="1" x14ac:dyDescent="0.15"/>
    <row r="5" spans="1:20" ht="33" customHeight="1" thickBot="1" x14ac:dyDescent="0.2"/>
    <row r="6" spans="1:20" s="6" customFormat="1" ht="15.5" customHeight="1" x14ac:dyDescent="0.15">
      <c r="C6" s="102" t="s">
        <v>27</v>
      </c>
      <c r="D6" s="103"/>
      <c r="E6" s="102" t="s">
        <v>28</v>
      </c>
      <c r="F6" s="103"/>
      <c r="G6" s="7"/>
      <c r="H6" s="7"/>
      <c r="I6" s="7"/>
      <c r="M6" s="7"/>
      <c r="O6" s="8"/>
      <c r="Q6" s="9" t="s">
        <v>3</v>
      </c>
      <c r="R6" s="9"/>
      <c r="S6" s="9"/>
      <c r="T6" s="9"/>
    </row>
    <row r="7" spans="1:20" s="18" customFormat="1" ht="25" customHeight="1" x14ac:dyDescent="0.25">
      <c r="A7" s="10" t="s">
        <v>2</v>
      </c>
      <c r="B7" s="11" t="s">
        <v>6</v>
      </c>
      <c r="C7" s="12" t="s">
        <v>29</v>
      </c>
      <c r="D7" s="13" t="s">
        <v>30</v>
      </c>
      <c r="E7" s="12" t="s">
        <v>55</v>
      </c>
      <c r="F7" s="13" t="s">
        <v>56</v>
      </c>
      <c r="G7" s="14" t="s">
        <v>59</v>
      </c>
      <c r="H7" s="15" t="s">
        <v>62</v>
      </c>
      <c r="I7" s="15" t="s">
        <v>63</v>
      </c>
      <c r="J7" s="16" t="s">
        <v>112</v>
      </c>
      <c r="K7" s="16" t="s">
        <v>64</v>
      </c>
      <c r="L7" s="16" t="s">
        <v>69</v>
      </c>
      <c r="M7" s="16" t="s">
        <v>43</v>
      </c>
      <c r="N7" s="16" t="s">
        <v>77</v>
      </c>
      <c r="O7" s="16" t="s">
        <v>4</v>
      </c>
      <c r="P7" s="16" t="s">
        <v>45</v>
      </c>
      <c r="Q7" s="17" t="s">
        <v>0</v>
      </c>
      <c r="R7" s="17" t="s">
        <v>97</v>
      </c>
      <c r="S7" s="16" t="s">
        <v>99</v>
      </c>
      <c r="T7" s="16" t="s">
        <v>98</v>
      </c>
    </row>
    <row r="8" spans="1:20" ht="16" x14ac:dyDescent="0.15">
      <c r="A8" s="19" t="str">
        <f>IF(Tabelle1[[#This Row],[日付]]=0,"",
IF(WEEKDAY(B8)=1,"日",
IF(WEEKDAY(B8)=2,"月",
IF(WEEKDAY(B8)=3,"火",
IF(WEEKDAY(B8)=4,"水",
IF(WEEKDAY(B8)=5,"木",
IF(WEEKDAY(B8)=6,"金",
IF(WEEKDAY(B8)=7,"土"))))))))</f>
        <v>月</v>
      </c>
      <c r="B8" s="84">
        <v>45019</v>
      </c>
      <c r="C8" s="20">
        <v>8</v>
      </c>
      <c r="D8" s="21">
        <v>15</v>
      </c>
      <c r="E8" s="20">
        <v>12</v>
      </c>
      <c r="F8" s="21">
        <v>30</v>
      </c>
      <c r="G8" s="22">
        <f t="shared" ref="G8:G16" si="0">ROUND((E8*60+F8-C8*60-D8)/60,2)</f>
        <v>4.25</v>
      </c>
      <c r="H8" s="23">
        <f>SUMIF(Tabelle1[日付],Tabelle1[[#This Row],[日付]],Tabelle1[労働時間])</f>
        <v>4.25</v>
      </c>
      <c r="I8" s="23" cm="1">
        <f t="array" ref="I8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8" s="24" t="s">
        <v>36</v>
      </c>
      <c r="K8" s="25" t="s">
        <v>65</v>
      </c>
      <c r="L8" s="26" t="s">
        <v>74</v>
      </c>
      <c r="M8" s="27" t="str">
        <f>IF(J8&lt;&gt;0,VLOOKUP(J8,基本情報!$B$19:$E$26,3,),"")</f>
        <v>有</v>
      </c>
      <c r="N8" s="88">
        <f>IF(AND(J8&lt;&gt;Tabelle1[[#This Row],[請求有無]],M8="有"),VLOOKUP(J8,基本情報!$B$19:$E$26,4,),"")</f>
        <v>5000</v>
      </c>
      <c r="O8" s="89">
        <f t="shared" ref="O8:O39" si="1">IF(M8="有",N8*G8,"")</f>
        <v>21250</v>
      </c>
      <c r="P8" s="28">
        <f t="shared" ref="P8:P41" si="2">MONTH(B8)</f>
        <v>4</v>
      </c>
      <c r="Q8" s="29">
        <f>TIME(Tabelle1[[#This Row],[時]],Tabelle1[[#This Row],[分]],)</f>
        <v>0.34375</v>
      </c>
      <c r="R8" s="29">
        <f>TIME(Tabelle1[[#This Row],[時2]],Tabelle1[[#This Row],[分3]],)</f>
        <v>0.52083333333333337</v>
      </c>
      <c r="S8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8" s="29" t="b">
        <f>(Tabelle1[[#This Row],[1日の労働時間]]&gt;基本情報!$D$12)</f>
        <v>0</v>
      </c>
    </row>
    <row r="9" spans="1:20" ht="16" x14ac:dyDescent="0.15">
      <c r="A9" s="19" t="str">
        <f>IF(Tabelle1[[#This Row],[日付]]=0,"",
IF(WEEKDAY(B9)=1,"日",
IF(WEEKDAY(B9)=2,"月",
IF(WEEKDAY(B9)=3,"火",
IF(WEEKDAY(B9)=4,"水",
IF(WEEKDAY(B9)=5,"木",
IF(WEEKDAY(B9)=6,"金",
IF(WEEKDAY(B9)=7,"土"))))))))</f>
        <v>火</v>
      </c>
      <c r="B9" s="84">
        <v>45020</v>
      </c>
      <c r="C9" s="20">
        <v>8</v>
      </c>
      <c r="D9" s="21">
        <v>0</v>
      </c>
      <c r="E9" s="20">
        <v>12</v>
      </c>
      <c r="F9" s="21">
        <v>0</v>
      </c>
      <c r="G9" s="22">
        <f t="shared" si="0"/>
        <v>4</v>
      </c>
      <c r="H9" s="23">
        <f>SUMIF(Tabelle1[日付],Tabelle1[[#This Row],[日付]],Tabelle1[労働時間])</f>
        <v>7.75</v>
      </c>
      <c r="I9" s="23" cm="1">
        <f t="array" ref="I9">24*(MAX(IF(EXACT(Tabelle1[日付],Tabelle1[[#This Row],[日付]]),Tabelle1[終了時間]))
-MIN(IF(EXACT(Tabelle1[日付],Tabelle1[[#This Row],[日付]]),Tabelle1[Start])))
-SUMIF(Tabelle1[日付],Tabelle1[[#This Row],[日付]],Tabelle1[労働時間])</f>
        <v>0.25</v>
      </c>
      <c r="J9" s="24" t="s">
        <v>36</v>
      </c>
      <c r="K9" s="25" t="s">
        <v>65</v>
      </c>
      <c r="L9" s="26" t="s">
        <v>74</v>
      </c>
      <c r="M9" s="27" t="str">
        <f>IF(J9&lt;&gt;0,VLOOKUP(J9,基本情報!$B$19:$E$26,3,),"")</f>
        <v>有</v>
      </c>
      <c r="N9" s="88">
        <f>IF(AND(J9&lt;&gt;Tabelle1[[#This Row],[請求有無]],M9="有"),VLOOKUP(J9,基本情報!$B$19:$E$26,4,),"")</f>
        <v>5000</v>
      </c>
      <c r="O9" s="89">
        <f t="shared" si="1"/>
        <v>20000</v>
      </c>
      <c r="P9" s="28">
        <f t="shared" si="2"/>
        <v>4</v>
      </c>
      <c r="Q9" s="29">
        <f>TIME(Tabelle1[[#This Row],[時]],Tabelle1[[#This Row],[分]],)</f>
        <v>0.33333333333333331</v>
      </c>
      <c r="R9" s="29">
        <f>TIME(Tabelle1[[#This Row],[時2]],Tabelle1[[#This Row],[分3]],)</f>
        <v>0.5</v>
      </c>
      <c r="S9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1</v>
      </c>
      <c r="T9" s="29" t="b">
        <f>(Tabelle1[[#This Row],[1日の労働時間]]&gt;基本情報!$D$12)</f>
        <v>0</v>
      </c>
    </row>
    <row r="10" spans="1:20" ht="16" x14ac:dyDescent="0.15">
      <c r="A10" s="19" t="str">
        <f>IF(Tabelle1[[#This Row],[日付]]=0,"",
IF(WEEKDAY(B10)=1,"日",
IF(WEEKDAY(B10)=2,"月",
IF(WEEKDAY(B10)=3,"火",
IF(WEEKDAY(B10)=4,"水",
IF(WEEKDAY(B10)=5,"木",
IF(WEEKDAY(B10)=6,"金",
IF(WEEKDAY(B10)=7,"土"))))))))</f>
        <v>火</v>
      </c>
      <c r="B10" s="84">
        <v>45020</v>
      </c>
      <c r="C10" s="20">
        <v>12</v>
      </c>
      <c r="D10" s="21">
        <v>15</v>
      </c>
      <c r="E10" s="20">
        <v>16</v>
      </c>
      <c r="F10" s="21">
        <v>0</v>
      </c>
      <c r="G10" s="22">
        <f>ROUND((E10*60+F10-C10*60-D10)/60,2)</f>
        <v>3.75</v>
      </c>
      <c r="H10" s="23">
        <f>SUMIF(Tabelle1[日付],Tabelle1[[#This Row],[日付]],Tabelle1[労働時間])</f>
        <v>7.75</v>
      </c>
      <c r="I10" s="23" cm="1">
        <f t="array" ref="I10">24*(MAX(IF(EXACT(Tabelle1[日付],Tabelle1[[#This Row],[日付]]),Tabelle1[終了時間]))
-MIN(IF(EXACT(Tabelle1[日付],Tabelle1[[#This Row],[日付]]),Tabelle1[Start])))
-SUMIF(Tabelle1[日付],Tabelle1[[#This Row],[日付]],Tabelle1[労働時間])</f>
        <v>0.25</v>
      </c>
      <c r="J10" s="24" t="s">
        <v>36</v>
      </c>
      <c r="K10" s="25" t="s">
        <v>65</v>
      </c>
      <c r="L10" s="26" t="s">
        <v>74</v>
      </c>
      <c r="M10" s="27" t="str">
        <f>IF(J10&lt;&gt;0,VLOOKUP(J10,基本情報!$B$19:$E$26,3,),"")</f>
        <v>有</v>
      </c>
      <c r="N10" s="88">
        <f>IF(AND(J10&lt;&gt;Tabelle1[[#This Row],[請求有無]],M10="有"),VLOOKUP(J10,基本情報!$B$19:$E$26,4,),"")</f>
        <v>5000</v>
      </c>
      <c r="O10" s="89">
        <f t="shared" si="1"/>
        <v>18750</v>
      </c>
      <c r="P10" s="28">
        <f>MONTH(B10)</f>
        <v>4</v>
      </c>
      <c r="Q10" s="29">
        <f>TIME(Tabelle1[[#This Row],[時]],Tabelle1[[#This Row],[分]],)</f>
        <v>0.51041666666666663</v>
      </c>
      <c r="R10" s="29">
        <f>TIME(Tabelle1[[#This Row],[時2]],Tabelle1[[#This Row],[分3]],)</f>
        <v>0.66666666666666663</v>
      </c>
      <c r="S10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1</v>
      </c>
      <c r="T10" s="29" t="b">
        <f>(Tabelle1[[#This Row],[1日の労働時間]]&gt;基本情報!$D$12)</f>
        <v>0</v>
      </c>
    </row>
    <row r="11" spans="1:20" ht="16" x14ac:dyDescent="0.15">
      <c r="A11" s="19" t="str">
        <f>IF(Tabelle1[[#This Row],[日付]]=0,"",
IF(WEEKDAY(B11)=1,"日",
IF(WEEKDAY(B11)=2,"月",
IF(WEEKDAY(B11)=3,"火",
IF(WEEKDAY(B11)=4,"水",
IF(WEEKDAY(B11)=5,"木",
IF(WEEKDAY(B11)=6,"金",
IF(WEEKDAY(B11)=7,"土"))))))))</f>
        <v>水</v>
      </c>
      <c r="B11" s="84">
        <v>45021</v>
      </c>
      <c r="C11" s="20">
        <v>8</v>
      </c>
      <c r="D11" s="21">
        <v>0</v>
      </c>
      <c r="E11" s="20">
        <v>12</v>
      </c>
      <c r="F11" s="21">
        <v>0</v>
      </c>
      <c r="G11" s="22">
        <f t="shared" si="0"/>
        <v>4</v>
      </c>
      <c r="H11" s="23">
        <f>SUMIF(Tabelle1[日付],Tabelle1[[#This Row],[日付]],Tabelle1[労働時間])</f>
        <v>4</v>
      </c>
      <c r="I11" s="23" cm="1">
        <f t="array" ref="I11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11" s="24" t="s">
        <v>36</v>
      </c>
      <c r="K11" s="25" t="s">
        <v>65</v>
      </c>
      <c r="L11" s="26" t="s">
        <v>74</v>
      </c>
      <c r="M11" s="27" t="str">
        <f>IF(J11&lt;&gt;0,VLOOKUP(J11,基本情報!$B$19:$E$26,3,),"")</f>
        <v>有</v>
      </c>
      <c r="N11" s="88">
        <f>IF(AND(J11&lt;&gt;Tabelle1[[#This Row],[請求有無]],M11="有"),VLOOKUP(J11,基本情報!$B$19:$E$26,4,),"")</f>
        <v>5000</v>
      </c>
      <c r="O11" s="89">
        <f t="shared" si="1"/>
        <v>20000</v>
      </c>
      <c r="P11" s="28">
        <f t="shared" si="2"/>
        <v>4</v>
      </c>
      <c r="Q11" s="29">
        <f>TIME(Tabelle1[[#This Row],[時]],Tabelle1[[#This Row],[分]],)</f>
        <v>0.33333333333333331</v>
      </c>
      <c r="R11" s="29">
        <f>TIME(Tabelle1[[#This Row],[時2]],Tabelle1[[#This Row],[分3]],)</f>
        <v>0.5</v>
      </c>
      <c r="S11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11" s="29" t="b">
        <f>(Tabelle1[[#This Row],[1日の労働時間]]&gt;基本情報!$D$12)</f>
        <v>0</v>
      </c>
    </row>
    <row r="12" spans="1:20" ht="16" x14ac:dyDescent="0.15">
      <c r="A12" s="19" t="str">
        <f>IF(Tabelle1[[#This Row],[日付]]=0,"",
IF(WEEKDAY(B12)=1,"日",
IF(WEEKDAY(B12)=2,"月",
IF(WEEKDAY(B12)=3,"火",
IF(WEEKDAY(B12)=4,"水",
IF(WEEKDAY(B12)=5,"木",
IF(WEEKDAY(B12)=6,"金",
IF(WEEKDAY(B12)=7,"土"))))))))</f>
        <v>木</v>
      </c>
      <c r="B12" s="84">
        <v>45022</v>
      </c>
      <c r="C12" s="20">
        <v>8</v>
      </c>
      <c r="D12" s="21">
        <v>0</v>
      </c>
      <c r="E12" s="20">
        <v>12</v>
      </c>
      <c r="F12" s="21">
        <v>0</v>
      </c>
      <c r="G12" s="22">
        <f t="shared" si="0"/>
        <v>4</v>
      </c>
      <c r="H12" s="23">
        <f>SUMIF(Tabelle1[日付],Tabelle1[[#This Row],[日付]],Tabelle1[労働時間])</f>
        <v>4</v>
      </c>
      <c r="I12" s="23" cm="1">
        <f t="array" ref="I12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12" s="24" t="s">
        <v>36</v>
      </c>
      <c r="K12" s="25" t="s">
        <v>65</v>
      </c>
      <c r="L12" s="26" t="s">
        <v>74</v>
      </c>
      <c r="M12" s="27" t="str">
        <f>IF(J12&lt;&gt;0,VLOOKUP(J12,基本情報!$B$19:$E$26,3,),"")</f>
        <v>有</v>
      </c>
      <c r="N12" s="88">
        <f>IF(AND(J12&lt;&gt;Tabelle1[[#This Row],[請求有無]],M12="有"),VLOOKUP(J12,基本情報!$B$19:$E$26,4,),"")</f>
        <v>5000</v>
      </c>
      <c r="O12" s="89">
        <f t="shared" si="1"/>
        <v>20000</v>
      </c>
      <c r="P12" s="28">
        <f t="shared" si="2"/>
        <v>4</v>
      </c>
      <c r="Q12" s="29">
        <f>TIME(Tabelle1[[#This Row],[時]],Tabelle1[[#This Row],[分]],)</f>
        <v>0.33333333333333331</v>
      </c>
      <c r="R12" s="29">
        <f>TIME(Tabelle1[[#This Row],[時2]],Tabelle1[[#This Row],[分3]],)</f>
        <v>0.5</v>
      </c>
      <c r="S12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12" s="29" t="b">
        <f>(Tabelle1[[#This Row],[1日の労働時間]]&gt;基本情報!$D$12)</f>
        <v>0</v>
      </c>
    </row>
    <row r="13" spans="1:20" ht="16" x14ac:dyDescent="0.15">
      <c r="A13" s="19" t="str">
        <f>IF(Tabelle1[[#This Row],[日付]]=0,"",
IF(WEEKDAY(B13)=1,"日",
IF(WEEKDAY(B13)=2,"月",
IF(WEEKDAY(B13)=3,"火",
IF(WEEKDAY(B13)=4,"水",
IF(WEEKDAY(B13)=5,"木",
IF(WEEKDAY(B13)=6,"金",
IF(WEEKDAY(B13)=7,"土"))))))))</f>
        <v>金</v>
      </c>
      <c r="B13" s="84">
        <v>45023</v>
      </c>
      <c r="C13" s="20">
        <v>8</v>
      </c>
      <c r="D13" s="21">
        <v>0</v>
      </c>
      <c r="E13" s="20">
        <v>12</v>
      </c>
      <c r="F13" s="21">
        <v>0</v>
      </c>
      <c r="G13" s="22">
        <f t="shared" si="0"/>
        <v>4</v>
      </c>
      <c r="H13" s="23">
        <f>SUMIF(Tabelle1[日付],Tabelle1[[#This Row],[日付]],Tabelle1[労働時間])</f>
        <v>10.25</v>
      </c>
      <c r="I13" s="23" cm="1">
        <f t="array" ref="I13">24*(MAX(IF(EXACT(Tabelle1[日付],Tabelle1[[#This Row],[日付]]),Tabelle1[終了時間]))
-MIN(IF(EXACT(Tabelle1[日付],Tabelle1[[#This Row],[日付]]),Tabelle1[Start])))
-SUMIF(Tabelle1[日付],Tabelle1[[#This Row],[日付]],Tabelle1[労働時間])</f>
        <v>0.75</v>
      </c>
      <c r="J13" s="24" t="s">
        <v>36</v>
      </c>
      <c r="K13" s="25" t="s">
        <v>65</v>
      </c>
      <c r="L13" s="26" t="s">
        <v>74</v>
      </c>
      <c r="M13" s="27" t="str">
        <f>IF(J13&lt;&gt;0,VLOOKUP(J13,基本情報!$B$19:$E$26,3,),"")</f>
        <v>有</v>
      </c>
      <c r="N13" s="88">
        <f>IF(AND(J13&lt;&gt;Tabelle1[[#This Row],[請求有無]],M13="有"),VLOOKUP(J13,基本情報!$B$19:$E$26,4,),"")</f>
        <v>5000</v>
      </c>
      <c r="O13" s="89">
        <f t="shared" si="1"/>
        <v>20000</v>
      </c>
      <c r="P13" s="28">
        <f t="shared" si="2"/>
        <v>4</v>
      </c>
      <c r="Q13" s="29">
        <f>TIME(Tabelle1[[#This Row],[時]],Tabelle1[[#This Row],[分]],)</f>
        <v>0.33333333333333331</v>
      </c>
      <c r="R13" s="29">
        <f>TIME(Tabelle1[[#This Row],[時2]],Tabelle1[[#This Row],[分3]],)</f>
        <v>0.5</v>
      </c>
      <c r="S13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1</v>
      </c>
      <c r="T13" s="29" t="b">
        <f>(Tabelle1[[#This Row],[1日の労働時間]]&gt;基本情報!$D$12)</f>
        <v>1</v>
      </c>
    </row>
    <row r="14" spans="1:20" ht="16" x14ac:dyDescent="0.15">
      <c r="A14" s="19" t="str">
        <f>IF(Tabelle1[[#This Row],[日付]]=0,"",
IF(WEEKDAY(B14)=1,"日",
IF(WEEKDAY(B14)=2,"月",
IF(WEEKDAY(B14)=3,"火",
IF(WEEKDAY(B14)=4,"水",
IF(WEEKDAY(B14)=5,"木",
IF(WEEKDAY(B14)=6,"金",
IF(WEEKDAY(B14)=7,"土"))))))))</f>
        <v>金</v>
      </c>
      <c r="B14" s="84">
        <v>45023</v>
      </c>
      <c r="C14" s="20">
        <v>12</v>
      </c>
      <c r="D14" s="21">
        <v>45</v>
      </c>
      <c r="E14" s="20">
        <v>19</v>
      </c>
      <c r="F14" s="21">
        <v>0</v>
      </c>
      <c r="G14" s="22">
        <f>ROUND((E14*60+F14-C14*60-D14)/60,2)</f>
        <v>6.25</v>
      </c>
      <c r="H14" s="23">
        <f>SUMIF(Tabelle1[日付],Tabelle1[[#This Row],[日付]],Tabelle1[労働時間])</f>
        <v>10.25</v>
      </c>
      <c r="I14" s="23" cm="1">
        <f t="array" ref="I14">24*(MAX(IF(EXACT(Tabelle1[日付],Tabelle1[[#This Row],[日付]]),Tabelle1[終了時間]))
-MIN(IF(EXACT(Tabelle1[日付],Tabelle1[[#This Row],[日付]]),Tabelle1[Start])))
-SUMIF(Tabelle1[日付],Tabelle1[[#This Row],[日付]],Tabelle1[労働時間])</f>
        <v>0.75</v>
      </c>
      <c r="J14" s="24" t="s">
        <v>36</v>
      </c>
      <c r="K14" s="25" t="s">
        <v>65</v>
      </c>
      <c r="L14" s="26" t="s">
        <v>74</v>
      </c>
      <c r="M14" s="27" t="str">
        <f>IF(J14&lt;&gt;0,VLOOKUP(J14,基本情報!$B$19:$E$26,3,),"")</f>
        <v>有</v>
      </c>
      <c r="N14" s="88">
        <f>IF(AND(J14&lt;&gt;Tabelle1[[#This Row],[請求有無]],M14="有"),VLOOKUP(J14,基本情報!$B$19:$E$26,4,),"")</f>
        <v>5000</v>
      </c>
      <c r="O14" s="89">
        <f t="shared" si="1"/>
        <v>31250</v>
      </c>
      <c r="P14" s="28">
        <f>MONTH(B14)</f>
        <v>4</v>
      </c>
      <c r="Q14" s="29">
        <f>TIME(Tabelle1[[#This Row],[時]],Tabelle1[[#This Row],[分]],)</f>
        <v>0.53125</v>
      </c>
      <c r="R14" s="29">
        <f>TIME(Tabelle1[[#This Row],[時2]],Tabelle1[[#This Row],[分3]],)</f>
        <v>0.79166666666666663</v>
      </c>
      <c r="S14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1</v>
      </c>
      <c r="T14" s="29" t="b">
        <f>(Tabelle1[[#This Row],[1日の労働時間]]&gt;基本情報!$D$12)</f>
        <v>1</v>
      </c>
    </row>
    <row r="15" spans="1:20" ht="16" x14ac:dyDescent="0.15">
      <c r="A15" s="19" t="str">
        <f>IF(Tabelle1[[#This Row],[日付]]=0,"",
IF(WEEKDAY(B15)=1,"日",
IF(WEEKDAY(B15)=2,"月",
IF(WEEKDAY(B15)=3,"火",
IF(WEEKDAY(B15)=4,"水",
IF(WEEKDAY(B15)=5,"木",
IF(WEEKDAY(B15)=6,"金",
IF(WEEKDAY(B15)=7,"土"))))))))</f>
        <v>月</v>
      </c>
      <c r="B15" s="84">
        <v>45026</v>
      </c>
      <c r="C15" s="20">
        <v>8</v>
      </c>
      <c r="D15" s="21">
        <v>0</v>
      </c>
      <c r="E15" s="20">
        <v>12</v>
      </c>
      <c r="F15" s="21">
        <v>0</v>
      </c>
      <c r="G15" s="22">
        <f t="shared" si="0"/>
        <v>4</v>
      </c>
      <c r="H15" s="23">
        <f>SUMIF(Tabelle1[日付],Tabelle1[[#This Row],[日付]],Tabelle1[労働時間])</f>
        <v>4</v>
      </c>
      <c r="I15" s="23" cm="1">
        <f t="array" ref="I15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15" s="24" t="s">
        <v>36</v>
      </c>
      <c r="K15" s="25" t="s">
        <v>65</v>
      </c>
      <c r="L15" s="26" t="s">
        <v>74</v>
      </c>
      <c r="M15" s="27" t="str">
        <f>IF(J15&lt;&gt;0,VLOOKUP(J15,基本情報!$B$19:$E$26,3,),"")</f>
        <v>有</v>
      </c>
      <c r="N15" s="88">
        <f>IF(AND(J15&lt;&gt;Tabelle1[[#This Row],[請求有無]],M15="有"),VLOOKUP(J15,基本情報!$B$19:$E$26,4,),"")</f>
        <v>5000</v>
      </c>
      <c r="O15" s="89">
        <f t="shared" si="1"/>
        <v>20000</v>
      </c>
      <c r="P15" s="28">
        <f t="shared" si="2"/>
        <v>4</v>
      </c>
      <c r="Q15" s="29">
        <f>TIME(Tabelle1[[#This Row],[時]],Tabelle1[[#This Row],[分]],)</f>
        <v>0.33333333333333331</v>
      </c>
      <c r="R15" s="29">
        <f>TIME(Tabelle1[[#This Row],[時2]],Tabelle1[[#This Row],[分3]],)</f>
        <v>0.5</v>
      </c>
      <c r="S15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15" s="29" t="b">
        <f>(Tabelle1[[#This Row],[1日の労働時間]]&gt;基本情報!$D$12)</f>
        <v>0</v>
      </c>
    </row>
    <row r="16" spans="1:20" ht="16" x14ac:dyDescent="0.15">
      <c r="A16" s="19" t="str">
        <f>IF(Tabelle1[[#This Row],[日付]]=0,"",
IF(WEEKDAY(B16)=1,"日",
IF(WEEKDAY(B16)=2,"月",
IF(WEEKDAY(B16)=3,"火",
IF(WEEKDAY(B16)=4,"水",
IF(WEEKDAY(B16)=5,"木",
IF(WEEKDAY(B16)=6,"金",
IF(WEEKDAY(B16)=7,"土"))))))))</f>
        <v>金</v>
      </c>
      <c r="B16" s="84">
        <v>45030</v>
      </c>
      <c r="C16" s="20">
        <v>8</v>
      </c>
      <c r="D16" s="21">
        <v>15</v>
      </c>
      <c r="E16" s="20">
        <v>9</v>
      </c>
      <c r="F16" s="21">
        <v>30</v>
      </c>
      <c r="G16" s="22">
        <f t="shared" si="0"/>
        <v>1.25</v>
      </c>
      <c r="H16" s="23">
        <f>SUMIF(Tabelle1[日付],Tabelle1[[#This Row],[日付]],Tabelle1[労働時間])</f>
        <v>2.75</v>
      </c>
      <c r="I16" s="23" cm="1">
        <f t="array" ref="I16">24*(MAX(IF(EXACT(Tabelle1[日付],Tabelle1[[#This Row],[日付]]),Tabelle1[終了時間]))
-MIN(IF(EXACT(Tabelle1[日付],Tabelle1[[#This Row],[日付]]),Tabelle1[Start])))
-SUMIF(Tabelle1[日付],Tabelle1[[#This Row],[日付]],Tabelle1[労働時間])</f>
        <v>0.25</v>
      </c>
      <c r="J16" s="24" t="s">
        <v>36</v>
      </c>
      <c r="K16" s="25" t="s">
        <v>65</v>
      </c>
      <c r="L16" s="26" t="s">
        <v>74</v>
      </c>
      <c r="M16" s="27" t="str">
        <f>IF(J16&lt;&gt;0,VLOOKUP(J16,基本情報!$B$19:$E$26,3,),"")</f>
        <v>有</v>
      </c>
      <c r="N16" s="88">
        <f>IF(AND(J16&lt;&gt;Tabelle1[[#This Row],[請求有無]],M16="有"),VLOOKUP(J16,基本情報!$B$19:$E$26,4,),"")</f>
        <v>5000</v>
      </c>
      <c r="O16" s="89">
        <f t="shared" si="1"/>
        <v>6250</v>
      </c>
      <c r="P16" s="28">
        <f t="shared" si="2"/>
        <v>4</v>
      </c>
      <c r="Q16" s="29">
        <f>TIME(Tabelle1[[#This Row],[時]],Tabelle1[[#This Row],[分]],)</f>
        <v>0.34375</v>
      </c>
      <c r="R16" s="29">
        <f>TIME(Tabelle1[[#This Row],[時2]],Tabelle1[[#This Row],[分3]],)</f>
        <v>0.39583333333333331</v>
      </c>
      <c r="S16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16" s="29" t="b">
        <f>(Tabelle1[[#This Row],[1日の労働時間]]&gt;基本情報!$D$12)</f>
        <v>0</v>
      </c>
    </row>
    <row r="17" spans="1:20" ht="16" x14ac:dyDescent="0.15">
      <c r="A17" s="19" t="str">
        <f>IF(Tabelle1[[#This Row],[日付]]=0,"",
IF(WEEKDAY(B17)=1,"日",
IF(WEEKDAY(B17)=2,"月",
IF(WEEKDAY(B17)=3,"火",
IF(WEEKDAY(B17)=4,"水",
IF(WEEKDAY(B17)=5,"木",
IF(WEEKDAY(B17)=6,"金",
IF(WEEKDAY(B17)=7,"土"))))))))</f>
        <v>金</v>
      </c>
      <c r="B17" s="84">
        <v>45030</v>
      </c>
      <c r="C17" s="20">
        <v>9</v>
      </c>
      <c r="D17" s="21">
        <v>30</v>
      </c>
      <c r="E17" s="20">
        <v>10</v>
      </c>
      <c r="F17" s="21">
        <v>30</v>
      </c>
      <c r="G17" s="22">
        <f t="shared" ref="G17:G103" si="3">ROUND((E17*60+F17-C17*60-D17)/60,2)</f>
        <v>1</v>
      </c>
      <c r="H17" s="23">
        <f>SUMIF(Tabelle1[日付],Tabelle1[[#This Row],[日付]],Tabelle1[労働時間])</f>
        <v>2.75</v>
      </c>
      <c r="I17" s="23" cm="1">
        <f t="array" ref="I17">24*(MAX(IF(EXACT(Tabelle1[日付],Tabelle1[[#This Row],[日付]]),Tabelle1[終了時間]))
-MIN(IF(EXACT(Tabelle1[日付],Tabelle1[[#This Row],[日付]]),Tabelle1[Start])))
-SUMIF(Tabelle1[日付],Tabelle1[[#This Row],[日付]],Tabelle1[労働時間])</f>
        <v>0.25</v>
      </c>
      <c r="J17" s="24" t="s">
        <v>41</v>
      </c>
      <c r="K17" s="25" t="s">
        <v>66</v>
      </c>
      <c r="L17" s="31" t="s">
        <v>70</v>
      </c>
      <c r="M17" s="27" t="str">
        <f>IF(J17&lt;&gt;0,VLOOKUP(J17,基本情報!$B$19:$E$26,3,),"")</f>
        <v>無</v>
      </c>
      <c r="N17" s="88" t="str">
        <f>IF(AND(J17&lt;&gt;Tabelle1[[#This Row],[請求有無]],M17="有"),VLOOKUP(J17,基本情報!$B$19:$E$26,4,),"")</f>
        <v/>
      </c>
      <c r="O17" s="89" t="str">
        <f t="shared" si="1"/>
        <v/>
      </c>
      <c r="P17" s="28">
        <f t="shared" si="2"/>
        <v>4</v>
      </c>
      <c r="Q17" s="29">
        <f>TIME(Tabelle1[[#This Row],[時]],Tabelle1[[#This Row],[分]],)</f>
        <v>0.39583333333333331</v>
      </c>
      <c r="R17" s="29">
        <f>TIME(Tabelle1[[#This Row],[時2]],Tabelle1[[#This Row],[分3]],)</f>
        <v>0.4375</v>
      </c>
      <c r="S17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17" s="29" t="b">
        <f>(Tabelle1[[#This Row],[1日の労働時間]]&gt;基本情報!$D$12)</f>
        <v>0</v>
      </c>
    </row>
    <row r="18" spans="1:20" ht="16" x14ac:dyDescent="0.15">
      <c r="A18" s="19" t="str">
        <f>IF(Tabelle1[[#This Row],[日付]]=0,"",
IF(WEEKDAY(B18)=1,"日",
IF(WEEKDAY(B18)=2,"月",
IF(WEEKDAY(B18)=3,"火",
IF(WEEKDAY(B18)=4,"水",
IF(WEEKDAY(B18)=5,"木",
IF(WEEKDAY(B18)=6,"金",
IF(WEEKDAY(B18)=7,"土"))))))))</f>
        <v>金</v>
      </c>
      <c r="B18" s="84">
        <v>45030</v>
      </c>
      <c r="C18" s="20">
        <v>10</v>
      </c>
      <c r="D18" s="21">
        <v>45</v>
      </c>
      <c r="E18" s="20">
        <v>11</v>
      </c>
      <c r="F18" s="21">
        <v>15</v>
      </c>
      <c r="G18" s="22">
        <f t="shared" si="3"/>
        <v>0.5</v>
      </c>
      <c r="H18" s="23">
        <f>SUMIF(Tabelle1[日付],Tabelle1[[#This Row],[日付]],Tabelle1[労働時間])</f>
        <v>2.75</v>
      </c>
      <c r="I18" s="23" cm="1">
        <f t="array" ref="I18">24*(MAX(IF(EXACT(Tabelle1[日付],Tabelle1[[#This Row],[日付]]),Tabelle1[終了時間]))
-MIN(IF(EXACT(Tabelle1[日付],Tabelle1[[#This Row],[日付]]),Tabelle1[Start])))
-SUMIF(Tabelle1[日付],Tabelle1[[#This Row],[日付]],Tabelle1[労働時間])</f>
        <v>0.25</v>
      </c>
      <c r="J18" s="24" t="s">
        <v>37</v>
      </c>
      <c r="K18" s="25" t="s">
        <v>65</v>
      </c>
      <c r="L18" s="31" t="s">
        <v>71</v>
      </c>
      <c r="M18" s="27" t="str">
        <f>IF(J18&lt;&gt;0,VLOOKUP(J18,基本情報!$B$19:$E$26,3,),"")</f>
        <v>有</v>
      </c>
      <c r="N18" s="88">
        <f>IF(AND(J18&lt;&gt;Tabelle1[[#This Row],[請求有無]],M18="有"),VLOOKUP(J18,基本情報!$B$19:$E$26,4,),"")</f>
        <v>4000</v>
      </c>
      <c r="O18" s="89">
        <f t="shared" si="1"/>
        <v>2000</v>
      </c>
      <c r="P18" s="28">
        <f t="shared" si="2"/>
        <v>4</v>
      </c>
      <c r="Q18" s="29">
        <f>TIME(Tabelle1[[#This Row],[時]],Tabelle1[[#This Row],[分]],)</f>
        <v>0.44791666666666669</v>
      </c>
      <c r="R18" s="29">
        <f>TIME(Tabelle1[[#This Row],[時2]],Tabelle1[[#This Row],[分3]],)</f>
        <v>0.46875</v>
      </c>
      <c r="S18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18" s="29" t="b">
        <f>(Tabelle1[[#This Row],[1日の労働時間]]&gt;基本情報!$D$12)</f>
        <v>0</v>
      </c>
    </row>
    <row r="19" spans="1:20" x14ac:dyDescent="0.15">
      <c r="A19" s="19" t="str">
        <f>IF(Tabelle1[[#This Row],[日付]]=0,"",
IF(WEEKDAY(B19)=1,"日",
IF(WEEKDAY(B19)=2,"月",
IF(WEEKDAY(B19)=3,"火",
IF(WEEKDAY(B19)=4,"水",
IF(WEEKDAY(B19)=5,"木",
IF(WEEKDAY(B19)=6,"金",
IF(WEEKDAY(B19)=7,"土"))))))))</f>
        <v>木</v>
      </c>
      <c r="B19" s="84">
        <v>45036</v>
      </c>
      <c r="C19" s="20">
        <v>8</v>
      </c>
      <c r="D19" s="21">
        <v>0</v>
      </c>
      <c r="E19" s="20">
        <v>11</v>
      </c>
      <c r="F19" s="21">
        <v>0</v>
      </c>
      <c r="G19" s="22">
        <f t="shared" si="3"/>
        <v>3</v>
      </c>
      <c r="H19" s="23">
        <f>SUMIF(Tabelle1[日付],Tabelle1[[#This Row],[日付]],Tabelle1[労働時間])</f>
        <v>8.5</v>
      </c>
      <c r="I19" s="23" cm="1">
        <f t="array" ref="I19">24*(MAX(IF(EXACT(Tabelle1[日付],Tabelle1[[#This Row],[日付]]),Tabelle1[終了時間]))
-MIN(IF(EXACT(Tabelle1[日付],Tabelle1[[#This Row],[日付]]),Tabelle1[Start])))
-SUMIF(Tabelle1[日付],Tabelle1[[#This Row],[日付]],Tabelle1[労働時間])</f>
        <v>1</v>
      </c>
      <c r="J19" s="24" t="s">
        <v>41</v>
      </c>
      <c r="K19" s="30" t="s">
        <v>67</v>
      </c>
      <c r="L19" s="31"/>
      <c r="M19" s="27" t="str">
        <f>IF(J19&lt;&gt;0,VLOOKUP(J19,基本情報!$B$19:$E$26,3,),"")</f>
        <v>無</v>
      </c>
      <c r="N19" s="88" t="str">
        <f>IF(AND(J19&lt;&gt;Tabelle1[[#This Row],[請求有無]],M19="有"),VLOOKUP(J19,基本情報!$B$19:$E$26,4,),"")</f>
        <v/>
      </c>
      <c r="O19" s="89" t="str">
        <f t="shared" si="1"/>
        <v/>
      </c>
      <c r="P19" s="28">
        <f t="shared" si="2"/>
        <v>4</v>
      </c>
      <c r="Q19" s="29">
        <f>TIME(Tabelle1[[#This Row],[時]],Tabelle1[[#This Row],[分]],)</f>
        <v>0.33333333333333331</v>
      </c>
      <c r="R19" s="29">
        <f>TIME(Tabelle1[[#This Row],[時2]],Tabelle1[[#This Row],[分3]],)</f>
        <v>0.45833333333333331</v>
      </c>
      <c r="S19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19" s="29" t="b">
        <f>(Tabelle1[[#This Row],[1日の労働時間]]&gt;基本情報!$D$12)</f>
        <v>1</v>
      </c>
    </row>
    <row r="20" spans="1:20" ht="16" x14ac:dyDescent="0.15">
      <c r="A20" s="19" t="str">
        <f>IF(Tabelle1[[#This Row],[日付]]=0,"",
IF(WEEKDAY(B20)=1,"日",
IF(WEEKDAY(B20)=2,"月",
IF(WEEKDAY(B20)=3,"火",
IF(WEEKDAY(B20)=4,"水",
IF(WEEKDAY(B20)=5,"木",
IF(WEEKDAY(B20)=6,"金",
IF(WEEKDAY(B20)=7,"土"))))))))</f>
        <v>木</v>
      </c>
      <c r="B20" s="84">
        <v>45036</v>
      </c>
      <c r="C20" s="20">
        <v>11</v>
      </c>
      <c r="D20" s="21">
        <v>0</v>
      </c>
      <c r="E20" s="20">
        <v>12</v>
      </c>
      <c r="F20" s="21">
        <v>0</v>
      </c>
      <c r="G20" s="22">
        <f t="shared" si="3"/>
        <v>1</v>
      </c>
      <c r="H20" s="23">
        <f>SUMIF(Tabelle1[日付],Tabelle1[[#This Row],[日付]],Tabelle1[労働時間])</f>
        <v>8.5</v>
      </c>
      <c r="I20" s="23" cm="1">
        <f t="array" ref="I20">24*(MAX(IF(EXACT(Tabelle1[日付],Tabelle1[[#This Row],[日付]]),Tabelle1[終了時間]))
-MIN(IF(EXACT(Tabelle1[日付],Tabelle1[[#This Row],[日付]]),Tabelle1[Start])))
-SUMIF(Tabelle1[日付],Tabelle1[[#This Row],[日付]],Tabelle1[労働時間])</f>
        <v>1</v>
      </c>
      <c r="J20" s="24" t="s">
        <v>40</v>
      </c>
      <c r="K20" s="25" t="s">
        <v>66</v>
      </c>
      <c r="L20" s="31" t="s">
        <v>75</v>
      </c>
      <c r="M20" s="27" t="str">
        <f>IF(J20&lt;&gt;0,VLOOKUP(J20,基本情報!$B$19:$E$26,3,),"")</f>
        <v>無</v>
      </c>
      <c r="N20" s="88" t="str">
        <f>IF(AND(J20&lt;&gt;Tabelle1[[#This Row],[請求有無]],M20="有"),VLOOKUP(J20,基本情報!$B$19:$E$26,4,),"")</f>
        <v/>
      </c>
      <c r="O20" s="89" t="str">
        <f t="shared" si="1"/>
        <v/>
      </c>
      <c r="P20" s="28">
        <f t="shared" si="2"/>
        <v>4</v>
      </c>
      <c r="Q20" s="29">
        <f>TIME(Tabelle1[[#This Row],[時]],Tabelle1[[#This Row],[分]],)</f>
        <v>0.45833333333333331</v>
      </c>
      <c r="R20" s="29">
        <f>TIME(Tabelle1[[#This Row],[時2]],Tabelle1[[#This Row],[分3]],)</f>
        <v>0.5</v>
      </c>
      <c r="S20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20" s="29" t="b">
        <f>(Tabelle1[[#This Row],[1日の労働時間]]&gt;基本情報!$D$12)</f>
        <v>1</v>
      </c>
    </row>
    <row r="21" spans="1:20" ht="16" x14ac:dyDescent="0.15">
      <c r="A21" s="19" t="str">
        <f>IF(Tabelle1[[#This Row],[日付]]=0,"",
IF(WEEKDAY(B21)=1,"日",
IF(WEEKDAY(B21)=2,"月",
IF(WEEKDAY(B21)=3,"火",
IF(WEEKDAY(B21)=4,"水",
IF(WEEKDAY(B21)=5,"木",
IF(WEEKDAY(B21)=6,"金",
IF(WEEKDAY(B21)=7,"土"))))))))</f>
        <v>木</v>
      </c>
      <c r="B21" s="84">
        <v>45036</v>
      </c>
      <c r="C21" s="20">
        <v>13</v>
      </c>
      <c r="D21" s="21">
        <v>0</v>
      </c>
      <c r="E21" s="20">
        <v>15</v>
      </c>
      <c r="F21" s="21">
        <v>0</v>
      </c>
      <c r="G21" s="22">
        <f t="shared" si="3"/>
        <v>2</v>
      </c>
      <c r="H21" s="23">
        <f>SUMIF(Tabelle1[日付],Tabelle1[[#This Row],[日付]],Tabelle1[労働時間])</f>
        <v>8.5</v>
      </c>
      <c r="I21" s="23" cm="1">
        <f t="array" ref="I21">24*(MAX(IF(EXACT(Tabelle1[日付],Tabelle1[[#This Row],[日付]]),Tabelle1[終了時間]))
-MIN(IF(EXACT(Tabelle1[日付],Tabelle1[[#This Row],[日付]]),Tabelle1[Start])))
-SUMIF(Tabelle1[日付],Tabelle1[[#This Row],[日付]],Tabelle1[労働時間])</f>
        <v>1</v>
      </c>
      <c r="J21" s="24" t="s">
        <v>36</v>
      </c>
      <c r="K21" s="25" t="s">
        <v>65</v>
      </c>
      <c r="L21" s="31" t="s">
        <v>72</v>
      </c>
      <c r="M21" s="27" t="str">
        <f>IF(J21&lt;&gt;0,VLOOKUP(J21,基本情報!$B$19:$E$26,3,),"")</f>
        <v>有</v>
      </c>
      <c r="N21" s="88">
        <f>IF(AND(J21&lt;&gt;Tabelle1[[#This Row],[請求有無]],M21="有"),VLOOKUP(J21,基本情報!$B$19:$E$26,4,),"")</f>
        <v>5000</v>
      </c>
      <c r="O21" s="89">
        <f t="shared" si="1"/>
        <v>10000</v>
      </c>
      <c r="P21" s="28">
        <f t="shared" si="2"/>
        <v>4</v>
      </c>
      <c r="Q21" s="29">
        <f>TIME(Tabelle1[[#This Row],[時]],Tabelle1[[#This Row],[分]],)</f>
        <v>0.54166666666666663</v>
      </c>
      <c r="R21" s="29">
        <f>TIME(Tabelle1[[#This Row],[時2]],Tabelle1[[#This Row],[分3]],)</f>
        <v>0.625</v>
      </c>
      <c r="S21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21" s="29" t="b">
        <f>(Tabelle1[[#This Row],[1日の労働時間]]&gt;基本情報!$D$12)</f>
        <v>1</v>
      </c>
    </row>
    <row r="22" spans="1:20" ht="16" x14ac:dyDescent="0.15">
      <c r="A22" s="19" t="str">
        <f>IF(Tabelle1[[#This Row],[日付]]=0,"",
IF(WEEKDAY(B22)=1,"日",
IF(WEEKDAY(B22)=2,"月",
IF(WEEKDAY(B22)=3,"火",
IF(WEEKDAY(B22)=4,"水",
IF(WEEKDAY(B22)=5,"木",
IF(WEEKDAY(B22)=6,"金",
IF(WEEKDAY(B22)=7,"土"))))))))</f>
        <v>木</v>
      </c>
      <c r="B22" s="84">
        <v>45036</v>
      </c>
      <c r="C22" s="20">
        <v>15</v>
      </c>
      <c r="D22" s="21">
        <v>0</v>
      </c>
      <c r="E22" s="20">
        <v>15</v>
      </c>
      <c r="F22" s="21">
        <v>45</v>
      </c>
      <c r="G22" s="22">
        <f t="shared" si="3"/>
        <v>0.75</v>
      </c>
      <c r="H22" s="23">
        <f>SUMIF(Tabelle1[日付],Tabelle1[[#This Row],[日付]],Tabelle1[労働時間])</f>
        <v>8.5</v>
      </c>
      <c r="I22" s="23" cm="1">
        <f t="array" ref="I22">24*(MAX(IF(EXACT(Tabelle1[日付],Tabelle1[[#This Row],[日付]]),Tabelle1[終了時間]))
-MIN(IF(EXACT(Tabelle1[日付],Tabelle1[[#This Row],[日付]]),Tabelle1[Start])))
-SUMIF(Tabelle1[日付],Tabelle1[[#This Row],[日付]],Tabelle1[労働時間])</f>
        <v>1</v>
      </c>
      <c r="J22" s="24" t="s">
        <v>36</v>
      </c>
      <c r="K22" s="25" t="s">
        <v>65</v>
      </c>
      <c r="L22" s="31" t="s">
        <v>76</v>
      </c>
      <c r="M22" s="27" t="str">
        <f>IF(J22&lt;&gt;0,VLOOKUP(J22,基本情報!$B$19:$E$26,3,),"")</f>
        <v>有</v>
      </c>
      <c r="N22" s="88">
        <f>IF(AND(J22&lt;&gt;Tabelle1[[#This Row],[請求有無]],M22="有"),VLOOKUP(J22,基本情報!$B$19:$E$26,4,),"")</f>
        <v>5000</v>
      </c>
      <c r="O22" s="89">
        <f t="shared" si="1"/>
        <v>3750</v>
      </c>
      <c r="P22" s="28">
        <f t="shared" si="2"/>
        <v>4</v>
      </c>
      <c r="Q22" s="29">
        <f>TIME(Tabelle1[[#This Row],[時]],Tabelle1[[#This Row],[分]],)</f>
        <v>0.625</v>
      </c>
      <c r="R22" s="29">
        <f>TIME(Tabelle1[[#This Row],[時2]],Tabelle1[[#This Row],[分3]],)</f>
        <v>0.65625</v>
      </c>
      <c r="S22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22" s="29" t="b">
        <f>(Tabelle1[[#This Row],[1日の労働時間]]&gt;基本情報!$D$12)</f>
        <v>1</v>
      </c>
    </row>
    <row r="23" spans="1:20" ht="16" x14ac:dyDescent="0.15">
      <c r="A23" s="19" t="str">
        <f>IF(Tabelle1[[#This Row],[日付]]=0,"",
IF(WEEKDAY(B23)=1,"日",
IF(WEEKDAY(B23)=2,"月",
IF(WEEKDAY(B23)=3,"火",
IF(WEEKDAY(B23)=4,"水",
IF(WEEKDAY(B23)=5,"木",
IF(WEEKDAY(B23)=6,"金",
IF(WEEKDAY(B23)=7,"土"))))))))</f>
        <v>木</v>
      </c>
      <c r="B23" s="84">
        <v>45036</v>
      </c>
      <c r="C23" s="20">
        <v>15</v>
      </c>
      <c r="D23" s="21">
        <v>45</v>
      </c>
      <c r="E23" s="20">
        <v>17</v>
      </c>
      <c r="F23" s="21">
        <v>30</v>
      </c>
      <c r="G23" s="22">
        <f t="shared" si="3"/>
        <v>1.75</v>
      </c>
      <c r="H23" s="23">
        <f>SUMIF(Tabelle1[日付],Tabelle1[[#This Row],[日付]],Tabelle1[労働時間])</f>
        <v>8.5</v>
      </c>
      <c r="I23" s="23" cm="1">
        <f t="array" ref="I23">24*(MAX(IF(EXACT(Tabelle1[日付],Tabelle1[[#This Row],[日付]]),Tabelle1[終了時間]))
-MIN(IF(EXACT(Tabelle1[日付],Tabelle1[[#This Row],[日付]]),Tabelle1[Start])))
-SUMIF(Tabelle1[日付],Tabelle1[[#This Row],[日付]],Tabelle1[労働時間])</f>
        <v>1</v>
      </c>
      <c r="J23" s="24" t="s">
        <v>36</v>
      </c>
      <c r="K23" s="25" t="s">
        <v>65</v>
      </c>
      <c r="L23" s="31" t="s">
        <v>73</v>
      </c>
      <c r="M23" s="27" t="str">
        <f>IF(J23&lt;&gt;0,VLOOKUP(J23,基本情報!$B$19:$E$26,3,),"")</f>
        <v>有</v>
      </c>
      <c r="N23" s="88">
        <f>IF(AND(J23&lt;&gt;Tabelle1[[#This Row],[請求有無]],M23="有"),VLOOKUP(J23,基本情報!$B$19:$E$26,4,),"")</f>
        <v>5000</v>
      </c>
      <c r="O23" s="89">
        <f t="shared" si="1"/>
        <v>8750</v>
      </c>
      <c r="P23" s="28">
        <f t="shared" si="2"/>
        <v>4</v>
      </c>
      <c r="Q23" s="29">
        <f>TIME(Tabelle1[[#This Row],[時]],Tabelle1[[#This Row],[分]],)</f>
        <v>0.65625</v>
      </c>
      <c r="R23" s="29">
        <f>TIME(Tabelle1[[#This Row],[時2]],Tabelle1[[#This Row],[分3]],)</f>
        <v>0.72916666666666663</v>
      </c>
      <c r="S23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23" s="29" t="b">
        <f>(Tabelle1[[#This Row],[1日の労働時間]]&gt;基本情報!$D$12)</f>
        <v>1</v>
      </c>
    </row>
    <row r="24" spans="1:20" ht="16" x14ac:dyDescent="0.15">
      <c r="A24" s="19" t="str">
        <f>IF(Tabelle1[[#This Row],[日付]]=0,"",
IF(WEEKDAY(B24)=1,"日",
IF(WEEKDAY(B24)=2,"月",
IF(WEEKDAY(B24)=3,"火",
IF(WEEKDAY(B24)=4,"水",
IF(WEEKDAY(B24)=5,"木",
IF(WEEKDAY(B24)=6,"金",
IF(WEEKDAY(B24)=7,"土"))))))))</f>
        <v>水</v>
      </c>
      <c r="B24" s="84">
        <v>45070</v>
      </c>
      <c r="C24" s="20">
        <v>8</v>
      </c>
      <c r="D24" s="21">
        <v>0</v>
      </c>
      <c r="E24" s="20">
        <v>12</v>
      </c>
      <c r="F24" s="21">
        <v>0</v>
      </c>
      <c r="G24" s="22">
        <f t="shared" si="3"/>
        <v>4</v>
      </c>
      <c r="H24" s="23">
        <f>SUMIF(Tabelle1[日付],Tabelle1[[#This Row],[日付]],Tabelle1[労働時間])</f>
        <v>8</v>
      </c>
      <c r="I24" s="23" cm="1">
        <f t="array" ref="I24">24*(MAX(IF(EXACT(Tabelle1[日付],Tabelle1[[#This Row],[日付]]),Tabelle1[終了時間]))
-MIN(IF(EXACT(Tabelle1[日付],Tabelle1[[#This Row],[日付]]),Tabelle1[Start])))
-SUMIF(Tabelle1[日付],Tabelle1[[#This Row],[日付]],Tabelle1[労働時間])</f>
        <v>1.0000000000000018</v>
      </c>
      <c r="J24" s="24" t="s">
        <v>36</v>
      </c>
      <c r="K24" s="25" t="s">
        <v>65</v>
      </c>
      <c r="L24" s="31" t="s">
        <v>73</v>
      </c>
      <c r="M24" s="27" t="str">
        <f>IF(J24&lt;&gt;0,VLOOKUP(J24,基本情報!$B$19:$E$26,3,),"")</f>
        <v>有</v>
      </c>
      <c r="N24" s="88">
        <f>IF(AND(J24&lt;&gt;Tabelle1[[#This Row],[請求有無]],M24="有"),VLOOKUP(J24,基本情報!$B$19:$E$26,4,),"")</f>
        <v>5000</v>
      </c>
      <c r="O24" s="89">
        <f t="shared" si="1"/>
        <v>20000</v>
      </c>
      <c r="P24" s="28">
        <f t="shared" si="2"/>
        <v>5</v>
      </c>
      <c r="Q24" s="29">
        <f>TIME(Tabelle1[[#This Row],[時]],Tabelle1[[#This Row],[分]],)</f>
        <v>0.33333333333333331</v>
      </c>
      <c r="R24" s="29">
        <f>TIME(Tabelle1[[#This Row],[時2]],Tabelle1[[#This Row],[分3]],)</f>
        <v>0.5</v>
      </c>
      <c r="S24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24" s="29" t="b">
        <f>(Tabelle1[[#This Row],[1日の労働時間]]&gt;基本情報!$D$12)</f>
        <v>0</v>
      </c>
    </row>
    <row r="25" spans="1:20" ht="16" x14ac:dyDescent="0.15">
      <c r="A25" s="19" t="str">
        <f>IF(Tabelle1[[#This Row],[日付]]=0,"",
IF(WEEKDAY(B25)=1,"日",
IF(WEEKDAY(B25)=2,"月",
IF(WEEKDAY(B25)=3,"火",
IF(WEEKDAY(B25)=4,"水",
IF(WEEKDAY(B25)=5,"木",
IF(WEEKDAY(B25)=6,"金",
IF(WEEKDAY(B25)=7,"土"))))))))</f>
        <v>水</v>
      </c>
      <c r="B25" s="84">
        <v>45070</v>
      </c>
      <c r="C25" s="20">
        <v>13</v>
      </c>
      <c r="D25" s="21">
        <v>0</v>
      </c>
      <c r="E25" s="20">
        <v>17</v>
      </c>
      <c r="F25" s="21">
        <v>0</v>
      </c>
      <c r="G25" s="22">
        <f t="shared" si="3"/>
        <v>4</v>
      </c>
      <c r="H25" s="23">
        <f>SUMIF(Tabelle1[日付],Tabelle1[[#This Row],[日付]],Tabelle1[労働時間])</f>
        <v>8</v>
      </c>
      <c r="I25" s="23" cm="1">
        <f t="array" ref="I25">24*(MAX(IF(EXACT(Tabelle1[日付],Tabelle1[[#This Row],[日付]]),Tabelle1[終了時間]))
-MIN(IF(EXACT(Tabelle1[日付],Tabelle1[[#This Row],[日付]]),Tabelle1[Start])))
-SUMIF(Tabelle1[日付],Tabelle1[[#This Row],[日付]],Tabelle1[労働時間])</f>
        <v>1.0000000000000018</v>
      </c>
      <c r="J25" s="24" t="s">
        <v>36</v>
      </c>
      <c r="K25" s="25" t="s">
        <v>65</v>
      </c>
      <c r="L25" s="31" t="s">
        <v>73</v>
      </c>
      <c r="M25" s="27" t="str">
        <f>IF(J25&lt;&gt;0,VLOOKUP(J25,基本情報!$B$19:$E$26,3,),"")</f>
        <v>有</v>
      </c>
      <c r="N25" s="88">
        <f>IF(AND(J25&lt;&gt;Tabelle1[[#This Row],[請求有無]],M25="有"),VLOOKUP(J25,基本情報!$B$19:$E$26,4,),"")</f>
        <v>5000</v>
      </c>
      <c r="O25" s="89">
        <f t="shared" si="1"/>
        <v>20000</v>
      </c>
      <c r="P25" s="28">
        <f t="shared" si="2"/>
        <v>5</v>
      </c>
      <c r="Q25" s="29">
        <f>TIME(Tabelle1[[#This Row],[時]],Tabelle1[[#This Row],[分]],)</f>
        <v>0.54166666666666663</v>
      </c>
      <c r="R25" s="29">
        <f>TIME(Tabelle1[[#This Row],[時2]],Tabelle1[[#This Row],[分3]],)</f>
        <v>0.70833333333333337</v>
      </c>
      <c r="S25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25" s="29" t="b">
        <f>(Tabelle1[[#This Row],[1日の労働時間]]&gt;基本情報!$D$12)</f>
        <v>0</v>
      </c>
    </row>
    <row r="26" spans="1:20" ht="16" x14ac:dyDescent="0.15">
      <c r="A26" s="19" t="str">
        <f>IF(Tabelle1[[#This Row],[日付]]=0,"",
IF(WEEKDAY(B26)=1,"日",
IF(WEEKDAY(B26)=2,"月",
IF(WEEKDAY(B26)=3,"火",
IF(WEEKDAY(B26)=4,"水",
IF(WEEKDAY(B26)=5,"木",
IF(WEEKDAY(B26)=6,"金",
IF(WEEKDAY(B26)=7,"土"))))))))</f>
        <v>木</v>
      </c>
      <c r="B26" s="84">
        <v>45071</v>
      </c>
      <c r="C26" s="20">
        <v>8</v>
      </c>
      <c r="D26" s="21">
        <v>0</v>
      </c>
      <c r="E26" s="20">
        <v>12</v>
      </c>
      <c r="F26" s="21">
        <v>0</v>
      </c>
      <c r="G26" s="22">
        <f t="shared" si="3"/>
        <v>4</v>
      </c>
      <c r="H26" s="23">
        <f>SUMIF(Tabelle1[日付],Tabelle1[[#This Row],[日付]],Tabelle1[労働時間])</f>
        <v>8</v>
      </c>
      <c r="I26" s="23" cm="1">
        <f t="array" ref="I26">24*(MAX(IF(EXACT(Tabelle1[日付],Tabelle1[[#This Row],[日付]]),Tabelle1[終了時間]))
-MIN(IF(EXACT(Tabelle1[日付],Tabelle1[[#This Row],[日付]]),Tabelle1[Start])))
-SUMIF(Tabelle1[日付],Tabelle1[[#This Row],[日付]],Tabelle1[労働時間])</f>
        <v>1.0000000000000018</v>
      </c>
      <c r="J26" s="24" t="s">
        <v>36</v>
      </c>
      <c r="K26" s="25" t="s">
        <v>65</v>
      </c>
      <c r="L26" s="31" t="s">
        <v>73</v>
      </c>
      <c r="M26" s="27" t="str">
        <f>IF(J26&lt;&gt;0,VLOOKUP(J26,基本情報!$B$19:$E$26,3,),"")</f>
        <v>有</v>
      </c>
      <c r="N26" s="88">
        <f>IF(AND(J26&lt;&gt;Tabelle1[[#This Row],[請求有無]],M26="有"),VLOOKUP(J26,基本情報!$B$19:$E$26,4,),"")</f>
        <v>5000</v>
      </c>
      <c r="O26" s="89">
        <f t="shared" si="1"/>
        <v>20000</v>
      </c>
      <c r="P26" s="28">
        <f t="shared" si="2"/>
        <v>5</v>
      </c>
      <c r="Q26" s="29">
        <f>TIME(Tabelle1[[#This Row],[時]],Tabelle1[[#This Row],[分]],)</f>
        <v>0.33333333333333331</v>
      </c>
      <c r="R26" s="29">
        <f>TIME(Tabelle1[[#This Row],[時2]],Tabelle1[[#This Row],[分3]],)</f>
        <v>0.5</v>
      </c>
      <c r="S26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26" s="29" t="b">
        <f>(Tabelle1[[#This Row],[1日の労働時間]]&gt;基本情報!$D$12)</f>
        <v>0</v>
      </c>
    </row>
    <row r="27" spans="1:20" ht="16" x14ac:dyDescent="0.15">
      <c r="A27" s="19" t="str">
        <f>IF(Tabelle1[[#This Row],[日付]]=0,"",
IF(WEEKDAY(B27)=1,"日",
IF(WEEKDAY(B27)=2,"月",
IF(WEEKDAY(B27)=3,"火",
IF(WEEKDAY(B27)=4,"水",
IF(WEEKDAY(B27)=5,"木",
IF(WEEKDAY(B27)=6,"金",
IF(WEEKDAY(B27)=7,"土"))))))))</f>
        <v>木</v>
      </c>
      <c r="B27" s="84">
        <v>45071</v>
      </c>
      <c r="C27" s="20">
        <v>13</v>
      </c>
      <c r="D27" s="21">
        <v>0</v>
      </c>
      <c r="E27" s="20">
        <v>17</v>
      </c>
      <c r="F27" s="21">
        <v>0</v>
      </c>
      <c r="G27" s="22">
        <f t="shared" si="3"/>
        <v>4</v>
      </c>
      <c r="H27" s="23">
        <f>SUMIF(Tabelle1[日付],Tabelle1[[#This Row],[日付]],Tabelle1[労働時間])</f>
        <v>8</v>
      </c>
      <c r="I27" s="23" cm="1">
        <f t="array" ref="I27">24*(MAX(IF(EXACT(Tabelle1[日付],Tabelle1[[#This Row],[日付]]),Tabelle1[終了時間]))
-MIN(IF(EXACT(Tabelle1[日付],Tabelle1[[#This Row],[日付]]),Tabelle1[Start])))
-SUMIF(Tabelle1[日付],Tabelle1[[#This Row],[日付]],Tabelle1[労働時間])</f>
        <v>1.0000000000000018</v>
      </c>
      <c r="J27" s="24" t="s">
        <v>36</v>
      </c>
      <c r="K27" s="25" t="s">
        <v>65</v>
      </c>
      <c r="L27" s="31" t="s">
        <v>73</v>
      </c>
      <c r="M27" s="27" t="str">
        <f>IF(J27&lt;&gt;0,VLOOKUP(J27,基本情報!$B$19:$E$26,3,),"")</f>
        <v>有</v>
      </c>
      <c r="N27" s="88">
        <f>IF(AND(J27&lt;&gt;Tabelle1[[#This Row],[請求有無]],M27="有"),VLOOKUP(J27,基本情報!$B$19:$E$26,4,),"")</f>
        <v>5000</v>
      </c>
      <c r="O27" s="89">
        <f t="shared" si="1"/>
        <v>20000</v>
      </c>
      <c r="P27" s="28">
        <f t="shared" si="2"/>
        <v>5</v>
      </c>
      <c r="Q27" s="29">
        <f>TIME(Tabelle1[[#This Row],[時]],Tabelle1[[#This Row],[分]],)</f>
        <v>0.54166666666666663</v>
      </c>
      <c r="R27" s="29">
        <f>TIME(Tabelle1[[#This Row],[時2]],Tabelle1[[#This Row],[分3]],)</f>
        <v>0.70833333333333337</v>
      </c>
      <c r="S27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27" s="29" t="b">
        <f>(Tabelle1[[#This Row],[1日の労働時間]]&gt;基本情報!$D$12)</f>
        <v>0</v>
      </c>
    </row>
    <row r="28" spans="1:20" ht="16" x14ac:dyDescent="0.15">
      <c r="A28" s="19" t="str">
        <f>IF(Tabelle1[[#This Row],[日付]]=0,"",
IF(WEEKDAY(B28)=1,"日",
IF(WEEKDAY(B28)=2,"月",
IF(WEEKDAY(B28)=3,"火",
IF(WEEKDAY(B28)=4,"水",
IF(WEEKDAY(B28)=5,"木",
IF(WEEKDAY(B28)=6,"金",
IF(WEEKDAY(B28)=7,"土"))))))))</f>
        <v>月</v>
      </c>
      <c r="B28" s="84">
        <v>45075</v>
      </c>
      <c r="C28" s="20">
        <v>8</v>
      </c>
      <c r="D28" s="21">
        <v>0</v>
      </c>
      <c r="E28" s="20">
        <v>12</v>
      </c>
      <c r="F28" s="21">
        <v>0</v>
      </c>
      <c r="G28" s="22">
        <f t="shared" si="3"/>
        <v>4</v>
      </c>
      <c r="H28" s="23">
        <f>SUMIF(Tabelle1[日付],Tabelle1[[#This Row],[日付]],Tabelle1[労働時間])</f>
        <v>10</v>
      </c>
      <c r="I28" s="23" cm="1">
        <f t="array" ref="I28">24*(MAX(IF(EXACT(Tabelle1[日付],Tabelle1[[#This Row],[日付]]),Tabelle1[終了時間]))
-MIN(IF(EXACT(Tabelle1[日付],Tabelle1[[#This Row],[日付]]),Tabelle1[Start])))
-SUMIF(Tabelle1[日付],Tabelle1[[#This Row],[日付]],Tabelle1[労働時間])</f>
        <v>1</v>
      </c>
      <c r="J28" s="24" t="s">
        <v>38</v>
      </c>
      <c r="K28" s="25" t="s">
        <v>65</v>
      </c>
      <c r="L28" s="31" t="s">
        <v>73</v>
      </c>
      <c r="M28" s="27" t="str">
        <f>IF(J28&lt;&gt;0,VLOOKUP(J28,基本情報!$B$19:$E$26,3,),"")</f>
        <v>有</v>
      </c>
      <c r="N28" s="88">
        <f>IF(AND(J28&lt;&gt;Tabelle1[[#This Row],[請求有無]],M28="有"),VLOOKUP(J28,基本情報!$B$19:$E$26,4,),"")</f>
        <v>3000</v>
      </c>
      <c r="O28" s="89">
        <f t="shared" si="1"/>
        <v>12000</v>
      </c>
      <c r="P28" s="28">
        <f t="shared" si="2"/>
        <v>5</v>
      </c>
      <c r="Q28" s="29">
        <f>TIME(Tabelle1[[#This Row],[時]],Tabelle1[[#This Row],[分]],)</f>
        <v>0.33333333333333331</v>
      </c>
      <c r="R28" s="29">
        <f>TIME(Tabelle1[[#This Row],[時2]],Tabelle1[[#This Row],[分3]],)</f>
        <v>0.5</v>
      </c>
      <c r="S28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28" s="29" t="b">
        <f>(Tabelle1[[#This Row],[1日の労働時間]]&gt;基本情報!$D$12)</f>
        <v>1</v>
      </c>
    </row>
    <row r="29" spans="1:20" ht="16" x14ac:dyDescent="0.15">
      <c r="A29" s="19" t="str">
        <f>IF(Tabelle1[[#This Row],[日付]]=0,"",
IF(WEEKDAY(B29)=1,"日",
IF(WEEKDAY(B29)=2,"月",
IF(WEEKDAY(B29)=3,"火",
IF(WEEKDAY(B29)=4,"水",
IF(WEEKDAY(B29)=5,"木",
IF(WEEKDAY(B29)=6,"金",
IF(WEEKDAY(B29)=7,"土"))))))))</f>
        <v>月</v>
      </c>
      <c r="B29" s="84">
        <v>45075</v>
      </c>
      <c r="C29" s="20">
        <v>13</v>
      </c>
      <c r="D29" s="21">
        <v>0</v>
      </c>
      <c r="E29" s="20">
        <v>19</v>
      </c>
      <c r="F29" s="21">
        <v>0</v>
      </c>
      <c r="G29" s="22">
        <f t="shared" si="3"/>
        <v>6</v>
      </c>
      <c r="H29" s="23">
        <f>SUMIF(Tabelle1[日付],Tabelle1[[#This Row],[日付]],Tabelle1[労働時間])</f>
        <v>10</v>
      </c>
      <c r="I29" s="23" cm="1">
        <f t="array" ref="I29">24*(MAX(IF(EXACT(Tabelle1[日付],Tabelle1[[#This Row],[日付]]),Tabelle1[終了時間]))
-MIN(IF(EXACT(Tabelle1[日付],Tabelle1[[#This Row],[日付]]),Tabelle1[Start])))
-SUMIF(Tabelle1[日付],Tabelle1[[#This Row],[日付]],Tabelle1[労働時間])</f>
        <v>1</v>
      </c>
      <c r="J29" s="24" t="s">
        <v>37</v>
      </c>
      <c r="K29" s="25" t="s">
        <v>65</v>
      </c>
      <c r="L29" s="31" t="s">
        <v>73</v>
      </c>
      <c r="M29" s="27" t="str">
        <f>IF(J29&lt;&gt;0,VLOOKUP(J29,基本情報!$B$19:$E$26,3,),"")</f>
        <v>有</v>
      </c>
      <c r="N29" s="88">
        <f>IF(AND(J29&lt;&gt;Tabelle1[[#This Row],[請求有無]],M29="有"),VLOOKUP(J29,基本情報!$B$19:$E$26,4,),"")</f>
        <v>4000</v>
      </c>
      <c r="O29" s="89">
        <f t="shared" si="1"/>
        <v>24000</v>
      </c>
      <c r="P29" s="28">
        <f t="shared" si="2"/>
        <v>5</v>
      </c>
      <c r="Q29" s="29">
        <f>TIME(Tabelle1[[#This Row],[時]],Tabelle1[[#This Row],[分]],)</f>
        <v>0.54166666666666663</v>
      </c>
      <c r="R29" s="29">
        <f>TIME(Tabelle1[[#This Row],[時2]],Tabelle1[[#This Row],[分3]],)</f>
        <v>0.79166666666666663</v>
      </c>
      <c r="S29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29" s="29" t="b">
        <f>(Tabelle1[[#This Row],[1日の労働時間]]&gt;基本情報!$D$12)</f>
        <v>1</v>
      </c>
    </row>
    <row r="30" spans="1:20" x14ac:dyDescent="0.15">
      <c r="A30" s="19" t="str">
        <f>IF(Tabelle1[[#This Row],[日付]]=0,"",
IF(WEEKDAY(B30)=1,"日",
IF(WEEKDAY(B30)=2,"月",
IF(WEEKDAY(B30)=3,"火",
IF(WEEKDAY(B30)=4,"水",
IF(WEEKDAY(B30)=5,"木",
IF(WEEKDAY(B30)=6,"金",
IF(WEEKDAY(B30)=7,"土"))))))))</f>
        <v>火</v>
      </c>
      <c r="B30" s="84">
        <v>45076</v>
      </c>
      <c r="C30" s="20">
        <v>20</v>
      </c>
      <c r="D30" s="21">
        <v>0</v>
      </c>
      <c r="E30" s="20">
        <v>23</v>
      </c>
      <c r="F30" s="21">
        <v>30</v>
      </c>
      <c r="G30" s="22">
        <f t="shared" si="3"/>
        <v>3.5</v>
      </c>
      <c r="H30" s="23">
        <f>SUMIF(Tabelle1[日付],Tabelle1[[#This Row],[日付]],Tabelle1[労働時間])</f>
        <v>3.5</v>
      </c>
      <c r="I30" s="23" cm="1">
        <f t="array" ref="I30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30" s="24" t="s">
        <v>38</v>
      </c>
      <c r="K30" s="30" t="s">
        <v>68</v>
      </c>
      <c r="L30" s="31"/>
      <c r="M30" s="27" t="str">
        <f>IF(J30&lt;&gt;0,VLOOKUP(J30,基本情報!$B$19:$E$26,3,),"")</f>
        <v>有</v>
      </c>
      <c r="N30" s="88">
        <f>IF(AND(J30&lt;&gt;Tabelle1[[#This Row],[請求有無]],M30="有"),VLOOKUP(J30,基本情報!$B$19:$E$26,4,),"")</f>
        <v>3000</v>
      </c>
      <c r="O30" s="89">
        <f t="shared" si="1"/>
        <v>10500</v>
      </c>
      <c r="P30" s="28">
        <f t="shared" si="2"/>
        <v>5</v>
      </c>
      <c r="Q30" s="29">
        <f>TIME(Tabelle1[[#This Row],[時]],Tabelle1[[#This Row],[分]],)</f>
        <v>0.83333333333333337</v>
      </c>
      <c r="R30" s="29">
        <f>TIME(Tabelle1[[#This Row],[時2]],Tabelle1[[#This Row],[分3]],)</f>
        <v>0.97916666666666663</v>
      </c>
      <c r="S30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30" s="29" t="b">
        <f>(Tabelle1[[#This Row],[1日の労働時間]]&gt;基本情報!$D$12)</f>
        <v>0</v>
      </c>
    </row>
    <row r="31" spans="1:20" x14ac:dyDescent="0.15">
      <c r="A31" s="19" t="str">
        <f>IF(Tabelle1[[#This Row],[日付]]=0,"",
IF(WEEKDAY(B31)=1,"日",
IF(WEEKDAY(B31)=2,"月",
IF(WEEKDAY(B31)=3,"火",
IF(WEEKDAY(B31)=4,"水",
IF(WEEKDAY(B31)=5,"木",
IF(WEEKDAY(B31)=6,"金",
IF(WEEKDAY(B31)=7,"土"))))))))</f>
        <v/>
      </c>
      <c r="B31" s="32"/>
      <c r="C31" s="20"/>
      <c r="D31" s="21"/>
      <c r="E31" s="20"/>
      <c r="F31" s="21"/>
      <c r="G31" s="22">
        <f t="shared" si="3"/>
        <v>0</v>
      </c>
      <c r="H31" s="23">
        <f>SUMIF(Tabelle1[日付],Tabelle1[[#This Row],[日付]],Tabelle1[労働時間])</f>
        <v>0</v>
      </c>
      <c r="I31" s="23" cm="1">
        <f t="array" ref="I31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31" s="24"/>
      <c r="K31" s="30"/>
      <c r="L31" s="31"/>
      <c r="M31" s="27" t="str">
        <f>IF(J31&lt;&gt;0,VLOOKUP(J31,基本情報!$B$19:$E$26,3,),"")</f>
        <v/>
      </c>
      <c r="N31" s="88" t="str">
        <f>IF(AND(J31&lt;&gt;Tabelle1[[#This Row],[請求有無]],M31="有"),VLOOKUP(J31,基本情報!$B$19:$E$26,4,),"")</f>
        <v/>
      </c>
      <c r="O31" s="89" t="str">
        <f t="shared" si="1"/>
        <v/>
      </c>
      <c r="P31" s="28">
        <f t="shared" si="2"/>
        <v>1</v>
      </c>
      <c r="Q31" s="29">
        <f>TIME(Tabelle1[[#This Row],[時]],Tabelle1[[#This Row],[分]],)</f>
        <v>0</v>
      </c>
      <c r="R31" s="29">
        <f>TIME(Tabelle1[[#This Row],[時2]],Tabelle1[[#This Row],[分3]],)</f>
        <v>0</v>
      </c>
      <c r="S31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31" s="29" t="b">
        <f>(Tabelle1[[#This Row],[1日の労働時間]]&gt;基本情報!$D$12)</f>
        <v>0</v>
      </c>
    </row>
    <row r="32" spans="1:20" x14ac:dyDescent="0.15">
      <c r="A32" s="19" t="str">
        <f>IF(Tabelle1[[#This Row],[日付]]=0,"",
IF(WEEKDAY(B32)=1,"日",
IF(WEEKDAY(B32)=2,"月",
IF(WEEKDAY(B32)=3,"火",
IF(WEEKDAY(B32)=4,"水",
IF(WEEKDAY(B32)=5,"木",
IF(WEEKDAY(B32)=6,"金",
IF(WEEKDAY(B32)=7,"土"))))))))</f>
        <v/>
      </c>
      <c r="B32" s="32"/>
      <c r="C32" s="20"/>
      <c r="D32" s="21"/>
      <c r="E32" s="20"/>
      <c r="F32" s="21"/>
      <c r="G32" s="22">
        <f t="shared" si="3"/>
        <v>0</v>
      </c>
      <c r="H32" s="23">
        <f>SUMIF(Tabelle1[日付],Tabelle1[[#This Row],[日付]],Tabelle1[労働時間])</f>
        <v>0</v>
      </c>
      <c r="I32" s="23" cm="1">
        <f t="array" ref="I32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32" s="24"/>
      <c r="K32" s="30"/>
      <c r="L32" s="31"/>
      <c r="M32" s="27" t="str">
        <f>IF(J32&lt;&gt;0,VLOOKUP(J32,基本情報!$B$19:$E$26,3,),"")</f>
        <v/>
      </c>
      <c r="N32" s="88" t="str">
        <f>IF(AND(J32&lt;&gt;Tabelle1[[#This Row],[請求有無]],M32="有"),VLOOKUP(J32,基本情報!$B$19:$E$26,4,),"")</f>
        <v/>
      </c>
      <c r="O32" s="89" t="str">
        <f t="shared" si="1"/>
        <v/>
      </c>
      <c r="P32" s="28">
        <f t="shared" si="2"/>
        <v>1</v>
      </c>
      <c r="Q32" s="29">
        <f>TIME(Tabelle1[[#This Row],[時]],Tabelle1[[#This Row],[分]],)</f>
        <v>0</v>
      </c>
      <c r="R32" s="29">
        <f>TIME(Tabelle1[[#This Row],[時2]],Tabelle1[[#This Row],[分3]],)</f>
        <v>0</v>
      </c>
      <c r="S32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32" s="29" t="b">
        <f>(Tabelle1[[#This Row],[1日の労働時間]]&gt;基本情報!$D$12)</f>
        <v>0</v>
      </c>
    </row>
    <row r="33" spans="1:20" x14ac:dyDescent="0.15">
      <c r="A33" s="19" t="str">
        <f>IF(Tabelle1[[#This Row],[日付]]=0,"",
IF(WEEKDAY(B33)=1,"日",
IF(WEEKDAY(B33)=2,"月",
IF(WEEKDAY(B33)=3,"火",
IF(WEEKDAY(B33)=4,"水",
IF(WEEKDAY(B33)=5,"木",
IF(WEEKDAY(B33)=6,"金",
IF(WEEKDAY(B33)=7,"土"))))))))</f>
        <v/>
      </c>
      <c r="B33" s="32"/>
      <c r="C33" s="20"/>
      <c r="D33" s="21"/>
      <c r="E33" s="20"/>
      <c r="F33" s="21"/>
      <c r="G33" s="22">
        <f t="shared" si="3"/>
        <v>0</v>
      </c>
      <c r="H33" s="23">
        <f>SUMIF(Tabelle1[日付],Tabelle1[[#This Row],[日付]],Tabelle1[労働時間])</f>
        <v>0</v>
      </c>
      <c r="I33" s="23" cm="1">
        <f t="array" ref="I33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33" s="24"/>
      <c r="K33" s="30"/>
      <c r="L33" s="31"/>
      <c r="M33" s="27" t="str">
        <f>IF(J33&lt;&gt;0,VLOOKUP(J33,基本情報!$B$19:$E$26,3,),"")</f>
        <v/>
      </c>
      <c r="N33" s="88" t="str">
        <f>IF(AND(J33&lt;&gt;Tabelle1[[#This Row],[請求有無]],M33="有"),VLOOKUP(J33,基本情報!$B$19:$E$26,4,),"")</f>
        <v/>
      </c>
      <c r="O33" s="89" t="str">
        <f t="shared" si="1"/>
        <v/>
      </c>
      <c r="P33" s="28">
        <f t="shared" si="2"/>
        <v>1</v>
      </c>
      <c r="Q33" s="29">
        <f>TIME(Tabelle1[[#This Row],[時]],Tabelle1[[#This Row],[分]],)</f>
        <v>0</v>
      </c>
      <c r="R33" s="29">
        <f>TIME(Tabelle1[[#This Row],[時2]],Tabelle1[[#This Row],[分3]],)</f>
        <v>0</v>
      </c>
      <c r="S33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33" s="29" t="b">
        <f>(Tabelle1[[#This Row],[1日の労働時間]]&gt;基本情報!$D$12)</f>
        <v>0</v>
      </c>
    </row>
    <row r="34" spans="1:20" x14ac:dyDescent="0.15">
      <c r="A34" s="19" t="str">
        <f>IF(Tabelle1[[#This Row],[日付]]=0,"",
IF(WEEKDAY(B34)=1,"日",
IF(WEEKDAY(B34)=2,"月",
IF(WEEKDAY(B34)=3,"火",
IF(WEEKDAY(B34)=4,"水",
IF(WEEKDAY(B34)=5,"木",
IF(WEEKDAY(B34)=6,"金",
IF(WEEKDAY(B34)=7,"土"))))))))</f>
        <v/>
      </c>
      <c r="B34" s="32"/>
      <c r="C34" s="20"/>
      <c r="D34" s="21"/>
      <c r="E34" s="20"/>
      <c r="F34" s="21"/>
      <c r="G34" s="22">
        <f t="shared" si="3"/>
        <v>0</v>
      </c>
      <c r="H34" s="23">
        <f>SUMIF(Tabelle1[日付],Tabelle1[[#This Row],[日付]],Tabelle1[労働時間])</f>
        <v>0</v>
      </c>
      <c r="I34" s="23" cm="1">
        <f t="array" ref="I34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34" s="24"/>
      <c r="K34" s="30"/>
      <c r="L34" s="31"/>
      <c r="M34" s="27" t="str">
        <f>IF(J34&lt;&gt;0,VLOOKUP(J34,基本情報!$B$19:$E$26,3,),"")</f>
        <v/>
      </c>
      <c r="N34" s="88" t="str">
        <f>IF(AND(J34&lt;&gt;Tabelle1[[#This Row],[請求有無]],M34="有"),VLOOKUP(J34,基本情報!$B$19:$E$26,4,),"")</f>
        <v/>
      </c>
      <c r="O34" s="89" t="str">
        <f t="shared" si="1"/>
        <v/>
      </c>
      <c r="P34" s="28">
        <f t="shared" si="2"/>
        <v>1</v>
      </c>
      <c r="Q34" s="29">
        <f>TIME(Tabelle1[[#This Row],[時]],Tabelle1[[#This Row],[分]],)</f>
        <v>0</v>
      </c>
      <c r="R34" s="29">
        <f>TIME(Tabelle1[[#This Row],[時2]],Tabelle1[[#This Row],[分3]],)</f>
        <v>0</v>
      </c>
      <c r="S34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34" s="29" t="b">
        <f>(Tabelle1[[#This Row],[1日の労働時間]]&gt;基本情報!$D$12)</f>
        <v>0</v>
      </c>
    </row>
    <row r="35" spans="1:20" x14ac:dyDescent="0.15">
      <c r="A35" s="19" t="str">
        <f>IF(Tabelle1[[#This Row],[日付]]=0,"",
IF(WEEKDAY(B35)=1,"日",
IF(WEEKDAY(B35)=2,"月",
IF(WEEKDAY(B35)=3,"火",
IF(WEEKDAY(B35)=4,"水",
IF(WEEKDAY(B35)=5,"木",
IF(WEEKDAY(B35)=6,"金",
IF(WEEKDAY(B35)=7,"土"))))))))</f>
        <v/>
      </c>
      <c r="B35" s="32"/>
      <c r="C35" s="20"/>
      <c r="D35" s="21"/>
      <c r="E35" s="20"/>
      <c r="F35" s="21"/>
      <c r="G35" s="22">
        <f t="shared" si="3"/>
        <v>0</v>
      </c>
      <c r="H35" s="23">
        <f>SUMIF(Tabelle1[日付],Tabelle1[[#This Row],[日付]],Tabelle1[労働時間])</f>
        <v>0</v>
      </c>
      <c r="I35" s="23" cm="1">
        <f t="array" ref="I35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35" s="24"/>
      <c r="K35" s="30"/>
      <c r="L35" s="31"/>
      <c r="M35" s="27" t="str">
        <f>IF(J35&lt;&gt;0,VLOOKUP(J35,基本情報!$B$19:$E$26,3,),"")</f>
        <v/>
      </c>
      <c r="N35" s="88" t="str">
        <f>IF(AND(J35&lt;&gt;Tabelle1[[#This Row],[請求有無]],M35="有"),VLOOKUP(J35,基本情報!$B$19:$E$26,4,),"")</f>
        <v/>
      </c>
      <c r="O35" s="89" t="str">
        <f t="shared" si="1"/>
        <v/>
      </c>
      <c r="P35" s="28">
        <f t="shared" si="2"/>
        <v>1</v>
      </c>
      <c r="Q35" s="29">
        <f>TIME(Tabelle1[[#This Row],[時]],Tabelle1[[#This Row],[分]],)</f>
        <v>0</v>
      </c>
      <c r="R35" s="29">
        <f>TIME(Tabelle1[[#This Row],[時2]],Tabelle1[[#This Row],[分3]],)</f>
        <v>0</v>
      </c>
      <c r="S35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35" s="29" t="b">
        <f>(Tabelle1[[#This Row],[1日の労働時間]]&gt;基本情報!$D$12)</f>
        <v>0</v>
      </c>
    </row>
    <row r="36" spans="1:20" x14ac:dyDescent="0.15">
      <c r="A36" s="19" t="str">
        <f>IF(Tabelle1[[#This Row],[日付]]=0,"",
IF(WEEKDAY(B36)=1,"日",
IF(WEEKDAY(B36)=2,"月",
IF(WEEKDAY(B36)=3,"火",
IF(WEEKDAY(B36)=4,"水",
IF(WEEKDAY(B36)=5,"木",
IF(WEEKDAY(B36)=6,"金",
IF(WEEKDAY(B36)=7,"土"))))))))</f>
        <v/>
      </c>
      <c r="B36" s="32"/>
      <c r="C36" s="20"/>
      <c r="D36" s="21"/>
      <c r="E36" s="20"/>
      <c r="F36" s="21"/>
      <c r="G36" s="22">
        <f t="shared" ref="G36:G100" si="4">ROUND((E36*60+F36-C36*60-D36)/60,2)</f>
        <v>0</v>
      </c>
      <c r="H36" s="23">
        <f>SUMIF(Tabelle1[日付],Tabelle1[[#This Row],[日付]],Tabelle1[労働時間])</f>
        <v>0</v>
      </c>
      <c r="I36" s="23" cm="1">
        <f t="array" ref="I36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36" s="24"/>
      <c r="K36" s="30"/>
      <c r="L36" s="31"/>
      <c r="M36" s="27" t="str">
        <f>IF(J36&lt;&gt;0,VLOOKUP(J36,基本情報!$B$19:$E$26,3,),"")</f>
        <v/>
      </c>
      <c r="N36" s="88" t="str">
        <f>IF(AND(J36&lt;&gt;Tabelle1[[#This Row],[請求有無]],M36="有"),VLOOKUP(J36,基本情報!$B$19:$E$26,4,),"")</f>
        <v/>
      </c>
      <c r="O36" s="89" t="str">
        <f t="shared" si="1"/>
        <v/>
      </c>
      <c r="P36" s="28">
        <f t="shared" si="2"/>
        <v>1</v>
      </c>
      <c r="Q36" s="29">
        <f>TIME(Tabelle1[[#This Row],[時]],Tabelle1[[#This Row],[分]],)</f>
        <v>0</v>
      </c>
      <c r="R36" s="29">
        <f>TIME(Tabelle1[[#This Row],[時2]],Tabelle1[[#This Row],[分3]],)</f>
        <v>0</v>
      </c>
      <c r="S36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36" s="29" t="b">
        <f>(Tabelle1[[#This Row],[1日の労働時間]]&gt;基本情報!$D$12)</f>
        <v>0</v>
      </c>
    </row>
    <row r="37" spans="1:20" x14ac:dyDescent="0.15">
      <c r="A37" s="19" t="str">
        <f>IF(Tabelle1[[#This Row],[日付]]=0,"",
IF(WEEKDAY(B37)=1,"日",
IF(WEEKDAY(B37)=2,"月",
IF(WEEKDAY(B37)=3,"火",
IF(WEEKDAY(B37)=4,"水",
IF(WEEKDAY(B37)=5,"木",
IF(WEEKDAY(B37)=6,"金",
IF(WEEKDAY(B37)=7,"土"))))))))</f>
        <v/>
      </c>
      <c r="B37" s="32"/>
      <c r="C37" s="20"/>
      <c r="D37" s="21"/>
      <c r="E37" s="20"/>
      <c r="F37" s="21"/>
      <c r="G37" s="22">
        <f t="shared" si="4"/>
        <v>0</v>
      </c>
      <c r="H37" s="23">
        <f>SUMIF(Tabelle1[日付],Tabelle1[[#This Row],[日付]],Tabelle1[労働時間])</f>
        <v>0</v>
      </c>
      <c r="I37" s="23" cm="1">
        <f t="array" ref="I37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37" s="24"/>
      <c r="K37" s="30"/>
      <c r="L37" s="31"/>
      <c r="M37" s="27" t="str">
        <f>IF(J37&lt;&gt;0,VLOOKUP(J37,基本情報!$B$19:$E$26,3,),"")</f>
        <v/>
      </c>
      <c r="N37" s="88" t="str">
        <f>IF(AND(J37&lt;&gt;Tabelle1[[#This Row],[請求有無]],M37="有"),VLOOKUP(J37,基本情報!$B$19:$E$26,4,),"")</f>
        <v/>
      </c>
      <c r="O37" s="89" t="str">
        <f t="shared" si="1"/>
        <v/>
      </c>
      <c r="P37" s="28">
        <f t="shared" si="2"/>
        <v>1</v>
      </c>
      <c r="Q37" s="29">
        <f>TIME(Tabelle1[[#This Row],[時]],Tabelle1[[#This Row],[分]],)</f>
        <v>0</v>
      </c>
      <c r="R37" s="29">
        <f>TIME(Tabelle1[[#This Row],[時2]],Tabelle1[[#This Row],[分3]],)</f>
        <v>0</v>
      </c>
      <c r="S37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37" s="29" t="b">
        <f>(Tabelle1[[#This Row],[1日の労働時間]]&gt;基本情報!$D$12)</f>
        <v>0</v>
      </c>
    </row>
    <row r="38" spans="1:20" x14ac:dyDescent="0.15">
      <c r="A38" s="19" t="str">
        <f>IF(Tabelle1[[#This Row],[日付]]=0,"",
IF(WEEKDAY(B38)=1,"日",
IF(WEEKDAY(B38)=2,"月",
IF(WEEKDAY(B38)=3,"火",
IF(WEEKDAY(B38)=4,"水",
IF(WEEKDAY(B38)=5,"木",
IF(WEEKDAY(B38)=6,"金",
IF(WEEKDAY(B38)=7,"土"))))))))</f>
        <v/>
      </c>
      <c r="B38" s="32"/>
      <c r="C38" s="20"/>
      <c r="D38" s="21"/>
      <c r="E38" s="20"/>
      <c r="F38" s="21"/>
      <c r="G38" s="22">
        <f t="shared" si="4"/>
        <v>0</v>
      </c>
      <c r="H38" s="23">
        <f>SUMIF(Tabelle1[日付],Tabelle1[[#This Row],[日付]],Tabelle1[労働時間])</f>
        <v>0</v>
      </c>
      <c r="I38" s="23" cm="1">
        <f t="array" ref="I38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38" s="24"/>
      <c r="K38" s="30"/>
      <c r="L38" s="31"/>
      <c r="M38" s="27" t="str">
        <f>IF(J38&lt;&gt;0,VLOOKUP(J38,基本情報!$B$19:$E$26,3,),"")</f>
        <v/>
      </c>
      <c r="N38" s="88" t="str">
        <f>IF(AND(J38&lt;&gt;Tabelle1[[#This Row],[請求有無]],M38="有"),VLOOKUP(J38,基本情報!$B$19:$E$26,4,),"")</f>
        <v/>
      </c>
      <c r="O38" s="89" t="str">
        <f t="shared" si="1"/>
        <v/>
      </c>
      <c r="P38" s="28">
        <f t="shared" si="2"/>
        <v>1</v>
      </c>
      <c r="Q38" s="29">
        <f>TIME(Tabelle1[[#This Row],[時]],Tabelle1[[#This Row],[分]],)</f>
        <v>0</v>
      </c>
      <c r="R38" s="29">
        <f>TIME(Tabelle1[[#This Row],[時2]],Tabelle1[[#This Row],[分3]],)</f>
        <v>0</v>
      </c>
      <c r="S38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38" s="29" t="b">
        <f>(Tabelle1[[#This Row],[1日の労働時間]]&gt;基本情報!$D$12)</f>
        <v>0</v>
      </c>
    </row>
    <row r="39" spans="1:20" x14ac:dyDescent="0.15">
      <c r="A39" s="19" t="str">
        <f>IF(Tabelle1[[#This Row],[日付]]=0,"",
IF(WEEKDAY(B39)=1,"日",
IF(WEEKDAY(B39)=2,"月",
IF(WEEKDAY(B39)=3,"火",
IF(WEEKDAY(B39)=4,"水",
IF(WEEKDAY(B39)=5,"木",
IF(WEEKDAY(B39)=6,"金",
IF(WEEKDAY(B39)=7,"土"))))))))</f>
        <v/>
      </c>
      <c r="B39" s="32"/>
      <c r="C39" s="20"/>
      <c r="D39" s="21"/>
      <c r="E39" s="20"/>
      <c r="F39" s="21"/>
      <c r="G39" s="22">
        <f t="shared" si="4"/>
        <v>0</v>
      </c>
      <c r="H39" s="23">
        <f>SUMIF(Tabelle1[日付],Tabelle1[[#This Row],[日付]],Tabelle1[労働時間])</f>
        <v>0</v>
      </c>
      <c r="I39" s="23" cm="1">
        <f t="array" ref="I39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39" s="24"/>
      <c r="K39" s="30"/>
      <c r="L39" s="31"/>
      <c r="M39" s="27" t="str">
        <f>IF(J39&lt;&gt;0,VLOOKUP(J39,基本情報!$B$19:$E$26,3,),"")</f>
        <v/>
      </c>
      <c r="N39" s="88" t="str">
        <f>IF(AND(J39&lt;&gt;Tabelle1[[#This Row],[請求有無]],M39="有"),VLOOKUP(J39,基本情報!$B$19:$E$26,4,),"")</f>
        <v/>
      </c>
      <c r="O39" s="89" t="str">
        <f t="shared" si="1"/>
        <v/>
      </c>
      <c r="P39" s="28">
        <f t="shared" si="2"/>
        <v>1</v>
      </c>
      <c r="Q39" s="29">
        <f>TIME(Tabelle1[[#This Row],[時]],Tabelle1[[#This Row],[分]],)</f>
        <v>0</v>
      </c>
      <c r="R39" s="29">
        <f>TIME(Tabelle1[[#This Row],[時2]],Tabelle1[[#This Row],[分3]],)</f>
        <v>0</v>
      </c>
      <c r="S39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39" s="29" t="b">
        <f>(Tabelle1[[#This Row],[1日の労働時間]]&gt;基本情報!$D$12)</f>
        <v>0</v>
      </c>
    </row>
    <row r="40" spans="1:20" x14ac:dyDescent="0.15">
      <c r="A40" s="19" t="str">
        <f>IF(Tabelle1[[#This Row],[日付]]=0,"",
IF(WEEKDAY(B40)=1,"日",
IF(WEEKDAY(B40)=2,"月",
IF(WEEKDAY(B40)=3,"火",
IF(WEEKDAY(B40)=4,"水",
IF(WEEKDAY(B40)=5,"木",
IF(WEEKDAY(B40)=6,"金",
IF(WEEKDAY(B40)=7,"土"))))))))</f>
        <v/>
      </c>
      <c r="B40" s="32"/>
      <c r="C40" s="20"/>
      <c r="D40" s="21"/>
      <c r="E40" s="20"/>
      <c r="F40" s="21"/>
      <c r="G40" s="22">
        <f t="shared" si="4"/>
        <v>0</v>
      </c>
      <c r="H40" s="23">
        <f>SUMIF(Tabelle1[日付],Tabelle1[[#This Row],[日付]],Tabelle1[労働時間])</f>
        <v>0</v>
      </c>
      <c r="I40" s="23" cm="1">
        <f t="array" ref="I40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40" s="24"/>
      <c r="K40" s="30"/>
      <c r="L40" s="31"/>
      <c r="M40" s="27" t="str">
        <f>IF(J40&lt;&gt;0,VLOOKUP(J40,基本情報!$B$19:$E$26,3,),"")</f>
        <v/>
      </c>
      <c r="N40" s="88" t="str">
        <f>IF(AND(J40&lt;&gt;Tabelle1[[#This Row],[請求有無]],M40="有"),VLOOKUP(J40,基本情報!$B$19:$E$26,4,),"")</f>
        <v/>
      </c>
      <c r="O40" s="89" t="str">
        <f t="shared" ref="O40:O71" si="5">IF(M40="有",N40*G40,"")</f>
        <v/>
      </c>
      <c r="P40" s="28">
        <f t="shared" si="2"/>
        <v>1</v>
      </c>
      <c r="Q40" s="29">
        <f>TIME(Tabelle1[[#This Row],[時]],Tabelle1[[#This Row],[分]],)</f>
        <v>0</v>
      </c>
      <c r="R40" s="29">
        <f>TIME(Tabelle1[[#This Row],[時2]],Tabelle1[[#This Row],[分3]],)</f>
        <v>0</v>
      </c>
      <c r="S40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40" s="29" t="b">
        <f>(Tabelle1[[#This Row],[1日の労働時間]]&gt;基本情報!$D$12)</f>
        <v>0</v>
      </c>
    </row>
    <row r="41" spans="1:20" x14ac:dyDescent="0.15">
      <c r="A41" s="19" t="str">
        <f>IF(Tabelle1[[#This Row],[日付]]=0,"",
IF(WEEKDAY(B41)=1,"日",
IF(WEEKDAY(B41)=2,"月",
IF(WEEKDAY(B41)=3,"火",
IF(WEEKDAY(B41)=4,"水",
IF(WEEKDAY(B41)=5,"木",
IF(WEEKDAY(B41)=6,"金",
IF(WEEKDAY(B41)=7,"土"))))))))</f>
        <v/>
      </c>
      <c r="B41" s="32"/>
      <c r="C41" s="20"/>
      <c r="D41" s="21"/>
      <c r="E41" s="20"/>
      <c r="F41" s="21"/>
      <c r="G41" s="22">
        <f t="shared" si="4"/>
        <v>0</v>
      </c>
      <c r="H41" s="23">
        <f>SUMIF(Tabelle1[日付],Tabelle1[[#This Row],[日付]],Tabelle1[労働時間])</f>
        <v>0</v>
      </c>
      <c r="I41" s="23" cm="1">
        <f t="array" ref="I41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41" s="24"/>
      <c r="K41" s="30"/>
      <c r="L41" s="31"/>
      <c r="M41" s="27" t="str">
        <f>IF(J41&lt;&gt;0,VLOOKUP(J41,基本情報!$B$19:$E$26,3,),"")</f>
        <v/>
      </c>
      <c r="N41" s="88" t="str">
        <f>IF(AND(J41&lt;&gt;Tabelle1[[#This Row],[請求有無]],M41="有"),VLOOKUP(J41,基本情報!$B$19:$E$26,4,),"")</f>
        <v/>
      </c>
      <c r="O41" s="89" t="str">
        <f t="shared" si="5"/>
        <v/>
      </c>
      <c r="P41" s="28">
        <f t="shared" si="2"/>
        <v>1</v>
      </c>
      <c r="Q41" s="29">
        <f>TIME(Tabelle1[[#This Row],[時]],Tabelle1[[#This Row],[分]],)</f>
        <v>0</v>
      </c>
      <c r="R41" s="29">
        <f>TIME(Tabelle1[[#This Row],[時2]],Tabelle1[[#This Row],[分3]],)</f>
        <v>0</v>
      </c>
      <c r="S41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41" s="29" t="b">
        <f>(Tabelle1[[#This Row],[1日の労働時間]]&gt;基本情報!$D$12)</f>
        <v>0</v>
      </c>
    </row>
    <row r="42" spans="1:20" x14ac:dyDescent="0.15">
      <c r="A42" s="19" t="str">
        <f>IF(Tabelle1[[#This Row],[日付]]=0,"",
IF(WEEKDAY(B42)=1,"日",
IF(WEEKDAY(B42)=2,"月",
IF(WEEKDAY(B42)=3,"火",
IF(WEEKDAY(B42)=4,"水",
IF(WEEKDAY(B42)=5,"木",
IF(WEEKDAY(B42)=6,"金",
IF(WEEKDAY(B42)=7,"土"))))))))</f>
        <v/>
      </c>
      <c r="B42" s="32"/>
      <c r="C42" s="20"/>
      <c r="D42" s="21"/>
      <c r="E42" s="20"/>
      <c r="F42" s="21"/>
      <c r="G42" s="22">
        <f t="shared" si="4"/>
        <v>0</v>
      </c>
      <c r="H42" s="23">
        <f>SUMIF(Tabelle1[日付],Tabelle1[[#This Row],[日付]],Tabelle1[労働時間])</f>
        <v>0</v>
      </c>
      <c r="I42" s="23" cm="1">
        <f t="array" ref="I42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42" s="24"/>
      <c r="K42" s="30"/>
      <c r="L42" s="31"/>
      <c r="M42" s="27" t="str">
        <f>IF(J42&lt;&gt;0,VLOOKUP(J42,基本情報!$B$19:$E$26,3,),"")</f>
        <v/>
      </c>
      <c r="N42" s="88" t="str">
        <f>IF(AND(J42&lt;&gt;Tabelle1[[#This Row],[請求有無]],M42="有"),VLOOKUP(J42,基本情報!$B$19:$E$26,4,),"")</f>
        <v/>
      </c>
      <c r="O42" s="89" t="str">
        <f t="shared" si="5"/>
        <v/>
      </c>
      <c r="P42" s="28">
        <f t="shared" ref="P42:P73" si="6">MONTH(B42)</f>
        <v>1</v>
      </c>
      <c r="Q42" s="29">
        <f>TIME(Tabelle1[[#This Row],[時]],Tabelle1[[#This Row],[分]],)</f>
        <v>0</v>
      </c>
      <c r="R42" s="29">
        <f>TIME(Tabelle1[[#This Row],[時2]],Tabelle1[[#This Row],[分3]],)</f>
        <v>0</v>
      </c>
      <c r="S42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42" s="29" t="b">
        <f>(Tabelle1[[#This Row],[1日の労働時間]]&gt;基本情報!$D$12)</f>
        <v>0</v>
      </c>
    </row>
    <row r="43" spans="1:20" x14ac:dyDescent="0.15">
      <c r="A43" s="19" t="str">
        <f>IF(Tabelle1[[#This Row],[日付]]=0,"",
IF(WEEKDAY(B43)=1,"日",
IF(WEEKDAY(B43)=2,"月",
IF(WEEKDAY(B43)=3,"火",
IF(WEEKDAY(B43)=4,"水",
IF(WEEKDAY(B43)=5,"木",
IF(WEEKDAY(B43)=6,"金",
IF(WEEKDAY(B43)=7,"土"))))))))</f>
        <v/>
      </c>
      <c r="B43" s="32"/>
      <c r="C43" s="20"/>
      <c r="D43" s="21"/>
      <c r="E43" s="20"/>
      <c r="F43" s="21"/>
      <c r="G43" s="22">
        <f t="shared" si="4"/>
        <v>0</v>
      </c>
      <c r="H43" s="23">
        <f>SUMIF(Tabelle1[日付],Tabelle1[[#This Row],[日付]],Tabelle1[労働時間])</f>
        <v>0</v>
      </c>
      <c r="I43" s="23" cm="1">
        <f t="array" ref="I43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43" s="24"/>
      <c r="K43" s="30"/>
      <c r="L43" s="31"/>
      <c r="M43" s="27" t="str">
        <f>IF(J43&lt;&gt;0,VLOOKUP(J43,基本情報!$B$19:$E$26,3,),"")</f>
        <v/>
      </c>
      <c r="N43" s="88" t="str">
        <f>IF(AND(J43&lt;&gt;Tabelle1[[#This Row],[請求有無]],M43="有"),VLOOKUP(J43,基本情報!$B$19:$E$26,4,),"")</f>
        <v/>
      </c>
      <c r="O43" s="89" t="str">
        <f t="shared" si="5"/>
        <v/>
      </c>
      <c r="P43" s="28">
        <f t="shared" si="6"/>
        <v>1</v>
      </c>
      <c r="Q43" s="29">
        <f>TIME(Tabelle1[[#This Row],[時]],Tabelle1[[#This Row],[分]],)</f>
        <v>0</v>
      </c>
      <c r="R43" s="29">
        <f>TIME(Tabelle1[[#This Row],[時2]],Tabelle1[[#This Row],[分3]],)</f>
        <v>0</v>
      </c>
      <c r="S43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43" s="29" t="b">
        <f>(Tabelle1[[#This Row],[1日の労働時間]]&gt;基本情報!$D$12)</f>
        <v>0</v>
      </c>
    </row>
    <row r="44" spans="1:20" x14ac:dyDescent="0.15">
      <c r="A44" s="19" t="str">
        <f>IF(Tabelle1[[#This Row],[日付]]=0,"",
IF(WEEKDAY(B44)=1,"日",
IF(WEEKDAY(B44)=2,"月",
IF(WEEKDAY(B44)=3,"火",
IF(WEEKDAY(B44)=4,"水",
IF(WEEKDAY(B44)=5,"木",
IF(WEEKDAY(B44)=6,"金",
IF(WEEKDAY(B44)=7,"土"))))))))</f>
        <v/>
      </c>
      <c r="B44" s="32"/>
      <c r="C44" s="20"/>
      <c r="D44" s="21"/>
      <c r="E44" s="20"/>
      <c r="F44" s="21"/>
      <c r="G44" s="22">
        <f t="shared" si="4"/>
        <v>0</v>
      </c>
      <c r="H44" s="23">
        <f>SUMIF(Tabelle1[日付],Tabelle1[[#This Row],[日付]],Tabelle1[労働時間])</f>
        <v>0</v>
      </c>
      <c r="I44" s="23" cm="1">
        <f t="array" ref="I44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44" s="24"/>
      <c r="K44" s="30"/>
      <c r="L44" s="31"/>
      <c r="M44" s="27" t="str">
        <f>IF(J44&lt;&gt;0,VLOOKUP(J44,基本情報!$B$19:$E$26,3,),"")</f>
        <v/>
      </c>
      <c r="N44" s="88" t="str">
        <f>IF(AND(J44&lt;&gt;Tabelle1[[#This Row],[請求有無]],M44="有"),VLOOKUP(J44,基本情報!$B$19:$E$26,4,),"")</f>
        <v/>
      </c>
      <c r="O44" s="89" t="str">
        <f t="shared" si="5"/>
        <v/>
      </c>
      <c r="P44" s="28">
        <f t="shared" si="6"/>
        <v>1</v>
      </c>
      <c r="Q44" s="29">
        <f>TIME(Tabelle1[[#This Row],[時]],Tabelle1[[#This Row],[分]],)</f>
        <v>0</v>
      </c>
      <c r="R44" s="29">
        <f>TIME(Tabelle1[[#This Row],[時2]],Tabelle1[[#This Row],[分3]],)</f>
        <v>0</v>
      </c>
      <c r="S44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44" s="29" t="b">
        <f>(Tabelle1[[#This Row],[1日の労働時間]]&gt;基本情報!$D$12)</f>
        <v>0</v>
      </c>
    </row>
    <row r="45" spans="1:20" x14ac:dyDescent="0.15">
      <c r="A45" s="19" t="str">
        <f>IF(Tabelle1[[#This Row],[日付]]=0,"",
IF(WEEKDAY(B45)=1,"日",
IF(WEEKDAY(B45)=2,"月",
IF(WEEKDAY(B45)=3,"火",
IF(WEEKDAY(B45)=4,"水",
IF(WEEKDAY(B45)=5,"木",
IF(WEEKDAY(B45)=6,"金",
IF(WEEKDAY(B45)=7,"土"))))))))</f>
        <v/>
      </c>
      <c r="B45" s="32"/>
      <c r="C45" s="20"/>
      <c r="D45" s="21"/>
      <c r="E45" s="20"/>
      <c r="F45" s="21"/>
      <c r="G45" s="22">
        <f t="shared" si="4"/>
        <v>0</v>
      </c>
      <c r="H45" s="23">
        <f>SUMIF(Tabelle1[日付],Tabelle1[[#This Row],[日付]],Tabelle1[労働時間])</f>
        <v>0</v>
      </c>
      <c r="I45" s="23" cm="1">
        <f t="array" ref="I45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45" s="24"/>
      <c r="K45" s="30"/>
      <c r="L45" s="31"/>
      <c r="M45" s="27" t="str">
        <f>IF(J45&lt;&gt;0,VLOOKUP(J45,基本情報!$B$19:$E$26,3,),"")</f>
        <v/>
      </c>
      <c r="N45" s="88" t="str">
        <f>IF(AND(J45&lt;&gt;Tabelle1[[#This Row],[請求有無]],M45="有"),VLOOKUP(J45,基本情報!$B$19:$E$26,4,),"")</f>
        <v/>
      </c>
      <c r="O45" s="89" t="str">
        <f t="shared" si="5"/>
        <v/>
      </c>
      <c r="P45" s="28">
        <f t="shared" si="6"/>
        <v>1</v>
      </c>
      <c r="Q45" s="29">
        <f>TIME(Tabelle1[[#This Row],[時]],Tabelle1[[#This Row],[分]],)</f>
        <v>0</v>
      </c>
      <c r="R45" s="29">
        <f>TIME(Tabelle1[[#This Row],[時2]],Tabelle1[[#This Row],[分3]],)</f>
        <v>0</v>
      </c>
      <c r="S45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45" s="29" t="b">
        <f>(Tabelle1[[#This Row],[1日の労働時間]]&gt;基本情報!$D$12)</f>
        <v>0</v>
      </c>
    </row>
    <row r="46" spans="1:20" x14ac:dyDescent="0.15">
      <c r="A46" s="19" t="str">
        <f>IF(Tabelle1[[#This Row],[日付]]=0,"",
IF(WEEKDAY(B46)=1,"日",
IF(WEEKDAY(B46)=2,"月",
IF(WEEKDAY(B46)=3,"火",
IF(WEEKDAY(B46)=4,"水",
IF(WEEKDAY(B46)=5,"木",
IF(WEEKDAY(B46)=6,"金",
IF(WEEKDAY(B46)=7,"土"))))))))</f>
        <v/>
      </c>
      <c r="B46" s="32"/>
      <c r="C46" s="20"/>
      <c r="D46" s="21"/>
      <c r="E46" s="20"/>
      <c r="F46" s="21"/>
      <c r="G46" s="22">
        <f t="shared" si="4"/>
        <v>0</v>
      </c>
      <c r="H46" s="23">
        <f>SUMIF(Tabelle1[日付],Tabelle1[[#This Row],[日付]],Tabelle1[労働時間])</f>
        <v>0</v>
      </c>
      <c r="I46" s="23" cm="1">
        <f t="array" ref="I46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46" s="24"/>
      <c r="K46" s="30"/>
      <c r="L46" s="31"/>
      <c r="M46" s="27" t="str">
        <f>IF(J46&lt;&gt;0,VLOOKUP(J46,基本情報!$B$19:$E$26,3,),"")</f>
        <v/>
      </c>
      <c r="N46" s="88" t="str">
        <f>IF(AND(J46&lt;&gt;Tabelle1[[#This Row],[請求有無]],M46="有"),VLOOKUP(J46,基本情報!$B$19:$E$26,4,),"")</f>
        <v/>
      </c>
      <c r="O46" s="89" t="str">
        <f t="shared" si="5"/>
        <v/>
      </c>
      <c r="P46" s="28">
        <f t="shared" si="6"/>
        <v>1</v>
      </c>
      <c r="Q46" s="29">
        <f>TIME(Tabelle1[[#This Row],[時]],Tabelle1[[#This Row],[分]],)</f>
        <v>0</v>
      </c>
      <c r="R46" s="29">
        <f>TIME(Tabelle1[[#This Row],[時2]],Tabelle1[[#This Row],[分3]],)</f>
        <v>0</v>
      </c>
      <c r="S46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46" s="29" t="b">
        <f>(Tabelle1[[#This Row],[1日の労働時間]]&gt;基本情報!$D$12)</f>
        <v>0</v>
      </c>
    </row>
    <row r="47" spans="1:20" x14ac:dyDescent="0.15">
      <c r="A47" s="19" t="str">
        <f>IF(Tabelle1[[#This Row],[日付]]=0,"",
IF(WEEKDAY(B47)=1,"日",
IF(WEEKDAY(B47)=2,"月",
IF(WEEKDAY(B47)=3,"火",
IF(WEEKDAY(B47)=4,"水",
IF(WEEKDAY(B47)=5,"木",
IF(WEEKDAY(B47)=6,"金",
IF(WEEKDAY(B47)=7,"土"))))))))</f>
        <v/>
      </c>
      <c r="B47" s="32"/>
      <c r="C47" s="20"/>
      <c r="D47" s="21"/>
      <c r="E47" s="20"/>
      <c r="F47" s="21"/>
      <c r="G47" s="22">
        <f t="shared" si="4"/>
        <v>0</v>
      </c>
      <c r="H47" s="23">
        <f>SUMIF(Tabelle1[日付],Tabelle1[[#This Row],[日付]],Tabelle1[労働時間])</f>
        <v>0</v>
      </c>
      <c r="I47" s="23" cm="1">
        <f t="array" ref="I47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47" s="24"/>
      <c r="K47" s="30"/>
      <c r="L47" s="31"/>
      <c r="M47" s="27" t="str">
        <f>IF(J47&lt;&gt;0,VLOOKUP(J47,基本情報!$B$19:$E$26,3,),"")</f>
        <v/>
      </c>
      <c r="N47" s="88" t="str">
        <f>IF(AND(J47&lt;&gt;Tabelle1[[#This Row],[請求有無]],M47="有"),VLOOKUP(J47,基本情報!$B$19:$E$26,4,),"")</f>
        <v/>
      </c>
      <c r="O47" s="89" t="str">
        <f t="shared" si="5"/>
        <v/>
      </c>
      <c r="P47" s="28">
        <f t="shared" si="6"/>
        <v>1</v>
      </c>
      <c r="Q47" s="29">
        <f>TIME(Tabelle1[[#This Row],[時]],Tabelle1[[#This Row],[分]],)</f>
        <v>0</v>
      </c>
      <c r="R47" s="29">
        <f>TIME(Tabelle1[[#This Row],[時2]],Tabelle1[[#This Row],[分3]],)</f>
        <v>0</v>
      </c>
      <c r="S47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47" s="29" t="b">
        <f>(Tabelle1[[#This Row],[1日の労働時間]]&gt;基本情報!$D$12)</f>
        <v>0</v>
      </c>
    </row>
    <row r="48" spans="1:20" x14ac:dyDescent="0.15">
      <c r="A48" s="19" t="str">
        <f>IF(Tabelle1[[#This Row],[日付]]=0,"",
IF(WEEKDAY(B48)=1,"日",
IF(WEEKDAY(B48)=2,"月",
IF(WEEKDAY(B48)=3,"火",
IF(WEEKDAY(B48)=4,"水",
IF(WEEKDAY(B48)=5,"木",
IF(WEEKDAY(B48)=6,"金",
IF(WEEKDAY(B48)=7,"土"))))))))</f>
        <v/>
      </c>
      <c r="B48" s="32"/>
      <c r="C48" s="20"/>
      <c r="D48" s="21"/>
      <c r="E48" s="20"/>
      <c r="F48" s="21"/>
      <c r="G48" s="22">
        <f t="shared" si="4"/>
        <v>0</v>
      </c>
      <c r="H48" s="23">
        <f>SUMIF(Tabelle1[日付],Tabelle1[[#This Row],[日付]],Tabelle1[労働時間])</f>
        <v>0</v>
      </c>
      <c r="I48" s="23" cm="1">
        <f t="array" ref="I48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48" s="24"/>
      <c r="K48" s="30"/>
      <c r="L48" s="31"/>
      <c r="M48" s="27" t="str">
        <f>IF(J48&lt;&gt;0,VLOOKUP(J48,基本情報!$B$19:$E$26,3,),"")</f>
        <v/>
      </c>
      <c r="N48" s="88" t="str">
        <f>IF(AND(J48&lt;&gt;Tabelle1[[#This Row],[請求有無]],M48="有"),VLOOKUP(J48,基本情報!$B$19:$E$26,4,),"")</f>
        <v/>
      </c>
      <c r="O48" s="89" t="str">
        <f t="shared" si="5"/>
        <v/>
      </c>
      <c r="P48" s="28">
        <f t="shared" si="6"/>
        <v>1</v>
      </c>
      <c r="Q48" s="29">
        <f>TIME(Tabelle1[[#This Row],[時]],Tabelle1[[#This Row],[分]],)</f>
        <v>0</v>
      </c>
      <c r="R48" s="29">
        <f>TIME(Tabelle1[[#This Row],[時2]],Tabelle1[[#This Row],[分3]],)</f>
        <v>0</v>
      </c>
      <c r="S48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48" s="29" t="b">
        <f>(Tabelle1[[#This Row],[1日の労働時間]]&gt;基本情報!$D$12)</f>
        <v>0</v>
      </c>
    </row>
    <row r="49" spans="1:20" x14ac:dyDescent="0.15">
      <c r="A49" s="19" t="str">
        <f>IF(Tabelle1[[#This Row],[日付]]=0,"",
IF(WEEKDAY(B49)=1,"日",
IF(WEEKDAY(B49)=2,"月",
IF(WEEKDAY(B49)=3,"火",
IF(WEEKDAY(B49)=4,"水",
IF(WEEKDAY(B49)=5,"木",
IF(WEEKDAY(B49)=6,"金",
IF(WEEKDAY(B49)=7,"土"))))))))</f>
        <v/>
      </c>
      <c r="B49" s="32"/>
      <c r="C49" s="20"/>
      <c r="D49" s="21"/>
      <c r="E49" s="20"/>
      <c r="F49" s="21"/>
      <c r="G49" s="22">
        <f t="shared" si="4"/>
        <v>0</v>
      </c>
      <c r="H49" s="23">
        <f>SUMIF(Tabelle1[日付],Tabelle1[[#This Row],[日付]],Tabelle1[労働時間])</f>
        <v>0</v>
      </c>
      <c r="I49" s="23" cm="1">
        <f t="array" ref="I49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49" s="24"/>
      <c r="K49" s="30"/>
      <c r="L49" s="31"/>
      <c r="M49" s="27" t="str">
        <f>IF(J49&lt;&gt;0,VLOOKUP(J49,基本情報!$B$19:$E$26,3,),"")</f>
        <v/>
      </c>
      <c r="N49" s="88" t="str">
        <f>IF(AND(J49&lt;&gt;Tabelle1[[#This Row],[請求有無]],M49="有"),VLOOKUP(J49,基本情報!$B$19:$E$26,4,),"")</f>
        <v/>
      </c>
      <c r="O49" s="89" t="str">
        <f t="shared" si="5"/>
        <v/>
      </c>
      <c r="P49" s="28">
        <f t="shared" si="6"/>
        <v>1</v>
      </c>
      <c r="Q49" s="29">
        <f>TIME(Tabelle1[[#This Row],[時]],Tabelle1[[#This Row],[分]],)</f>
        <v>0</v>
      </c>
      <c r="R49" s="29">
        <f>TIME(Tabelle1[[#This Row],[時2]],Tabelle1[[#This Row],[分3]],)</f>
        <v>0</v>
      </c>
      <c r="S49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49" s="29" t="b">
        <f>(Tabelle1[[#This Row],[1日の労働時間]]&gt;基本情報!$D$12)</f>
        <v>0</v>
      </c>
    </row>
    <row r="50" spans="1:20" x14ac:dyDescent="0.15">
      <c r="A50" s="19" t="str">
        <f>IF(Tabelle1[[#This Row],[日付]]=0,"",
IF(WEEKDAY(B50)=1,"日",
IF(WEEKDAY(B50)=2,"月",
IF(WEEKDAY(B50)=3,"火",
IF(WEEKDAY(B50)=4,"水",
IF(WEEKDAY(B50)=5,"木",
IF(WEEKDAY(B50)=6,"金",
IF(WEEKDAY(B50)=7,"土"))))))))</f>
        <v/>
      </c>
      <c r="B50" s="32"/>
      <c r="C50" s="20"/>
      <c r="D50" s="21"/>
      <c r="E50" s="20"/>
      <c r="F50" s="21"/>
      <c r="G50" s="22">
        <f t="shared" si="4"/>
        <v>0</v>
      </c>
      <c r="H50" s="23">
        <f>SUMIF(Tabelle1[日付],Tabelle1[[#This Row],[日付]],Tabelle1[労働時間])</f>
        <v>0</v>
      </c>
      <c r="I50" s="23" cm="1">
        <f t="array" ref="I50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50" s="24"/>
      <c r="K50" s="30"/>
      <c r="L50" s="31"/>
      <c r="M50" s="27" t="str">
        <f>IF(J50&lt;&gt;0,VLOOKUP(J50,基本情報!$B$19:$E$26,3,),"")</f>
        <v/>
      </c>
      <c r="N50" s="88" t="str">
        <f>IF(AND(J50&lt;&gt;Tabelle1[[#This Row],[請求有無]],M50="有"),VLOOKUP(J50,基本情報!$B$19:$E$26,4,),"")</f>
        <v/>
      </c>
      <c r="O50" s="89" t="str">
        <f t="shared" si="5"/>
        <v/>
      </c>
      <c r="P50" s="28">
        <f t="shared" si="6"/>
        <v>1</v>
      </c>
      <c r="Q50" s="29">
        <f>TIME(Tabelle1[[#This Row],[時]],Tabelle1[[#This Row],[分]],)</f>
        <v>0</v>
      </c>
      <c r="R50" s="29">
        <f>TIME(Tabelle1[[#This Row],[時2]],Tabelle1[[#This Row],[分3]],)</f>
        <v>0</v>
      </c>
      <c r="S50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50" s="29" t="b">
        <f>(Tabelle1[[#This Row],[1日の労働時間]]&gt;基本情報!$D$12)</f>
        <v>0</v>
      </c>
    </row>
    <row r="51" spans="1:20" x14ac:dyDescent="0.15">
      <c r="A51" s="19" t="str">
        <f>IF(Tabelle1[[#This Row],[日付]]=0,"",
IF(WEEKDAY(B51)=1,"日",
IF(WEEKDAY(B51)=2,"月",
IF(WEEKDAY(B51)=3,"火",
IF(WEEKDAY(B51)=4,"水",
IF(WEEKDAY(B51)=5,"木",
IF(WEEKDAY(B51)=6,"金",
IF(WEEKDAY(B51)=7,"土"))))))))</f>
        <v/>
      </c>
      <c r="B51" s="32"/>
      <c r="C51" s="20"/>
      <c r="D51" s="21"/>
      <c r="E51" s="20"/>
      <c r="F51" s="21"/>
      <c r="G51" s="22">
        <f t="shared" si="4"/>
        <v>0</v>
      </c>
      <c r="H51" s="23">
        <f>SUMIF(Tabelle1[日付],Tabelle1[[#This Row],[日付]],Tabelle1[労働時間])</f>
        <v>0</v>
      </c>
      <c r="I51" s="23" cm="1">
        <f t="array" ref="I51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51" s="24"/>
      <c r="K51" s="30"/>
      <c r="L51" s="31"/>
      <c r="M51" s="27" t="str">
        <f>IF(J51&lt;&gt;0,VLOOKUP(J51,基本情報!$B$19:$E$26,3,),"")</f>
        <v/>
      </c>
      <c r="N51" s="88" t="str">
        <f>IF(AND(J51&lt;&gt;Tabelle1[[#This Row],[請求有無]],M51="有"),VLOOKUP(J51,基本情報!$B$19:$E$26,4,),"")</f>
        <v/>
      </c>
      <c r="O51" s="89" t="str">
        <f t="shared" si="5"/>
        <v/>
      </c>
      <c r="P51" s="28">
        <f t="shared" si="6"/>
        <v>1</v>
      </c>
      <c r="Q51" s="29">
        <f>TIME(Tabelle1[[#This Row],[時]],Tabelle1[[#This Row],[分]],)</f>
        <v>0</v>
      </c>
      <c r="R51" s="29">
        <f>TIME(Tabelle1[[#This Row],[時2]],Tabelle1[[#This Row],[分3]],)</f>
        <v>0</v>
      </c>
      <c r="S51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51" s="29" t="b">
        <f>(Tabelle1[[#This Row],[1日の労働時間]]&gt;基本情報!$D$12)</f>
        <v>0</v>
      </c>
    </row>
    <row r="52" spans="1:20" x14ac:dyDescent="0.15">
      <c r="A52" s="19" t="str">
        <f>IF(Tabelle1[[#This Row],[日付]]=0,"",
IF(WEEKDAY(B52)=1,"日",
IF(WEEKDAY(B52)=2,"月",
IF(WEEKDAY(B52)=3,"火",
IF(WEEKDAY(B52)=4,"水",
IF(WEEKDAY(B52)=5,"木",
IF(WEEKDAY(B52)=6,"金",
IF(WEEKDAY(B52)=7,"土"))))))))</f>
        <v/>
      </c>
      <c r="B52" s="32"/>
      <c r="C52" s="20"/>
      <c r="D52" s="21"/>
      <c r="E52" s="20"/>
      <c r="F52" s="21"/>
      <c r="G52" s="22">
        <f t="shared" si="4"/>
        <v>0</v>
      </c>
      <c r="H52" s="23">
        <f>SUMIF(Tabelle1[日付],Tabelle1[[#This Row],[日付]],Tabelle1[労働時間])</f>
        <v>0</v>
      </c>
      <c r="I52" s="23" cm="1">
        <f t="array" ref="I52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52" s="24"/>
      <c r="K52" s="30"/>
      <c r="L52" s="31"/>
      <c r="M52" s="27" t="str">
        <f>IF(J52&lt;&gt;0,VLOOKUP(J52,基本情報!$B$19:$E$26,3,),"")</f>
        <v/>
      </c>
      <c r="N52" s="88" t="str">
        <f>IF(AND(J52&lt;&gt;Tabelle1[[#This Row],[請求有無]],M52="有"),VLOOKUP(J52,基本情報!$B$19:$E$26,4,),"")</f>
        <v/>
      </c>
      <c r="O52" s="89" t="str">
        <f t="shared" si="5"/>
        <v/>
      </c>
      <c r="P52" s="28">
        <f t="shared" si="6"/>
        <v>1</v>
      </c>
      <c r="Q52" s="29">
        <f>TIME(Tabelle1[[#This Row],[時]],Tabelle1[[#This Row],[分]],)</f>
        <v>0</v>
      </c>
      <c r="R52" s="29">
        <f>TIME(Tabelle1[[#This Row],[時2]],Tabelle1[[#This Row],[分3]],)</f>
        <v>0</v>
      </c>
      <c r="S52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52" s="29" t="b">
        <f>(Tabelle1[[#This Row],[1日の労働時間]]&gt;基本情報!$D$12)</f>
        <v>0</v>
      </c>
    </row>
    <row r="53" spans="1:20" x14ac:dyDescent="0.15">
      <c r="A53" s="19" t="str">
        <f>IF(Tabelle1[[#This Row],[日付]]=0,"",
IF(WEEKDAY(B53)=1,"日",
IF(WEEKDAY(B53)=2,"月",
IF(WEEKDAY(B53)=3,"火",
IF(WEEKDAY(B53)=4,"水",
IF(WEEKDAY(B53)=5,"木",
IF(WEEKDAY(B53)=6,"金",
IF(WEEKDAY(B53)=7,"土"))))))))</f>
        <v/>
      </c>
      <c r="B53" s="32"/>
      <c r="C53" s="20"/>
      <c r="D53" s="21"/>
      <c r="E53" s="20"/>
      <c r="F53" s="21"/>
      <c r="G53" s="22">
        <f t="shared" si="4"/>
        <v>0</v>
      </c>
      <c r="H53" s="23">
        <f>SUMIF(Tabelle1[日付],Tabelle1[[#This Row],[日付]],Tabelle1[労働時間])</f>
        <v>0</v>
      </c>
      <c r="I53" s="23" cm="1">
        <f t="array" ref="I53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53" s="24"/>
      <c r="K53" s="30"/>
      <c r="L53" s="31"/>
      <c r="M53" s="27" t="str">
        <f>IF(J53&lt;&gt;0,VLOOKUP(J53,基本情報!$B$19:$E$26,3,),"")</f>
        <v/>
      </c>
      <c r="N53" s="88" t="str">
        <f>IF(AND(J53&lt;&gt;Tabelle1[[#This Row],[請求有無]],M53="有"),VLOOKUP(J53,基本情報!$B$19:$E$26,4,),"")</f>
        <v/>
      </c>
      <c r="O53" s="89" t="str">
        <f t="shared" si="5"/>
        <v/>
      </c>
      <c r="P53" s="28">
        <f t="shared" si="6"/>
        <v>1</v>
      </c>
      <c r="Q53" s="29">
        <f>TIME(Tabelle1[[#This Row],[時]],Tabelle1[[#This Row],[分]],)</f>
        <v>0</v>
      </c>
      <c r="R53" s="29">
        <f>TIME(Tabelle1[[#This Row],[時2]],Tabelle1[[#This Row],[分3]],)</f>
        <v>0</v>
      </c>
      <c r="S53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53" s="29" t="b">
        <f>(Tabelle1[[#This Row],[1日の労働時間]]&gt;基本情報!$D$12)</f>
        <v>0</v>
      </c>
    </row>
    <row r="54" spans="1:20" x14ac:dyDescent="0.15">
      <c r="A54" s="19" t="str">
        <f>IF(Tabelle1[[#This Row],[日付]]=0,"",
IF(WEEKDAY(B54)=1,"日",
IF(WEEKDAY(B54)=2,"月",
IF(WEEKDAY(B54)=3,"火",
IF(WEEKDAY(B54)=4,"水",
IF(WEEKDAY(B54)=5,"木",
IF(WEEKDAY(B54)=6,"金",
IF(WEEKDAY(B54)=7,"土"))))))))</f>
        <v/>
      </c>
      <c r="B54" s="32"/>
      <c r="C54" s="20"/>
      <c r="D54" s="21"/>
      <c r="E54" s="20"/>
      <c r="F54" s="21"/>
      <c r="G54" s="22">
        <f t="shared" si="4"/>
        <v>0</v>
      </c>
      <c r="H54" s="23">
        <f>SUMIF(Tabelle1[日付],Tabelle1[[#This Row],[日付]],Tabelle1[労働時間])</f>
        <v>0</v>
      </c>
      <c r="I54" s="23" cm="1">
        <f t="array" ref="I54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54" s="24"/>
      <c r="K54" s="30"/>
      <c r="L54" s="31"/>
      <c r="M54" s="27" t="str">
        <f>IF(J54&lt;&gt;0,VLOOKUP(J54,基本情報!$B$19:$E$26,3,),"")</f>
        <v/>
      </c>
      <c r="N54" s="88" t="str">
        <f>IF(AND(J54&lt;&gt;Tabelle1[[#This Row],[請求有無]],M54="有"),VLOOKUP(J54,基本情報!$B$19:$E$26,4,),"")</f>
        <v/>
      </c>
      <c r="O54" s="89" t="str">
        <f t="shared" si="5"/>
        <v/>
      </c>
      <c r="P54" s="28">
        <f t="shared" si="6"/>
        <v>1</v>
      </c>
      <c r="Q54" s="29">
        <f>TIME(Tabelle1[[#This Row],[時]],Tabelle1[[#This Row],[分]],)</f>
        <v>0</v>
      </c>
      <c r="R54" s="29">
        <f>TIME(Tabelle1[[#This Row],[時2]],Tabelle1[[#This Row],[分3]],)</f>
        <v>0</v>
      </c>
      <c r="S54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54" s="29" t="b">
        <f>(Tabelle1[[#This Row],[1日の労働時間]]&gt;基本情報!$D$12)</f>
        <v>0</v>
      </c>
    </row>
    <row r="55" spans="1:20" x14ac:dyDescent="0.15">
      <c r="A55" s="19" t="str">
        <f>IF(Tabelle1[[#This Row],[日付]]=0,"",
IF(WEEKDAY(B55)=1,"日",
IF(WEEKDAY(B55)=2,"月",
IF(WEEKDAY(B55)=3,"火",
IF(WEEKDAY(B55)=4,"水",
IF(WEEKDAY(B55)=5,"木",
IF(WEEKDAY(B55)=6,"金",
IF(WEEKDAY(B55)=7,"土"))))))))</f>
        <v/>
      </c>
      <c r="B55" s="32"/>
      <c r="C55" s="20"/>
      <c r="D55" s="21"/>
      <c r="E55" s="20"/>
      <c r="F55" s="21"/>
      <c r="G55" s="22">
        <f t="shared" ref="G55:G70" si="7">ROUND((E55*60+F55-C55*60-D55)/60,2)</f>
        <v>0</v>
      </c>
      <c r="H55" s="23">
        <f>SUMIF(Tabelle1[日付],Tabelle1[[#This Row],[日付]],Tabelle1[労働時間])</f>
        <v>0</v>
      </c>
      <c r="I55" s="23" cm="1">
        <f t="array" ref="I55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55" s="24"/>
      <c r="K55" s="30"/>
      <c r="L55" s="31"/>
      <c r="M55" s="27" t="str">
        <f>IF(J55&lt;&gt;0,VLOOKUP(J55,基本情報!$B$19:$E$26,3,),"")</f>
        <v/>
      </c>
      <c r="N55" s="88" t="str">
        <f>IF(AND(J55&lt;&gt;Tabelle1[[#This Row],[請求有無]],M55="有"),VLOOKUP(J55,基本情報!$B$19:$E$26,4,),"")</f>
        <v/>
      </c>
      <c r="O55" s="89" t="str">
        <f t="shared" si="5"/>
        <v/>
      </c>
      <c r="P55" s="28">
        <f t="shared" si="6"/>
        <v>1</v>
      </c>
      <c r="Q55" s="29">
        <f>TIME(Tabelle1[[#This Row],[時]],Tabelle1[[#This Row],[分]],)</f>
        <v>0</v>
      </c>
      <c r="R55" s="29">
        <f>TIME(Tabelle1[[#This Row],[時2]],Tabelle1[[#This Row],[分3]],)</f>
        <v>0</v>
      </c>
      <c r="S55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55" s="29" t="b">
        <f>(Tabelle1[[#This Row],[1日の労働時間]]&gt;基本情報!$D$12)</f>
        <v>0</v>
      </c>
    </row>
    <row r="56" spans="1:20" x14ac:dyDescent="0.15">
      <c r="A56" s="19" t="str">
        <f>IF(Tabelle1[[#This Row],[日付]]=0,"",
IF(WEEKDAY(B56)=1,"日",
IF(WEEKDAY(B56)=2,"月",
IF(WEEKDAY(B56)=3,"火",
IF(WEEKDAY(B56)=4,"水",
IF(WEEKDAY(B56)=5,"木",
IF(WEEKDAY(B56)=6,"金",
IF(WEEKDAY(B56)=7,"土"))))))))</f>
        <v/>
      </c>
      <c r="B56" s="32"/>
      <c r="C56" s="20"/>
      <c r="D56" s="21"/>
      <c r="E56" s="20"/>
      <c r="F56" s="21"/>
      <c r="G56" s="22">
        <f t="shared" si="7"/>
        <v>0</v>
      </c>
      <c r="H56" s="23">
        <f>SUMIF(Tabelle1[日付],Tabelle1[[#This Row],[日付]],Tabelle1[労働時間])</f>
        <v>0</v>
      </c>
      <c r="I56" s="23" cm="1">
        <f t="array" ref="I56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56" s="24"/>
      <c r="K56" s="30"/>
      <c r="L56" s="31"/>
      <c r="M56" s="27" t="str">
        <f>IF(J56&lt;&gt;0,VLOOKUP(J56,基本情報!$B$19:$E$26,3,),"")</f>
        <v/>
      </c>
      <c r="N56" s="88" t="str">
        <f>IF(AND(J56&lt;&gt;Tabelle1[[#This Row],[請求有無]],M56="有"),VLOOKUP(J56,基本情報!$B$19:$E$26,4,),"")</f>
        <v/>
      </c>
      <c r="O56" s="89" t="str">
        <f t="shared" si="5"/>
        <v/>
      </c>
      <c r="P56" s="28">
        <f t="shared" si="6"/>
        <v>1</v>
      </c>
      <c r="Q56" s="29">
        <f>TIME(Tabelle1[[#This Row],[時]],Tabelle1[[#This Row],[分]],)</f>
        <v>0</v>
      </c>
      <c r="R56" s="29">
        <f>TIME(Tabelle1[[#This Row],[時2]],Tabelle1[[#This Row],[分3]],)</f>
        <v>0</v>
      </c>
      <c r="S56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56" s="29" t="b">
        <f>(Tabelle1[[#This Row],[1日の労働時間]]&gt;基本情報!$D$12)</f>
        <v>0</v>
      </c>
    </row>
    <row r="57" spans="1:20" x14ac:dyDescent="0.15">
      <c r="A57" s="19" t="str">
        <f>IF(Tabelle1[[#This Row],[日付]]=0,"",
IF(WEEKDAY(B57)=1,"日",
IF(WEEKDAY(B57)=2,"月",
IF(WEEKDAY(B57)=3,"火",
IF(WEEKDAY(B57)=4,"水",
IF(WEEKDAY(B57)=5,"木",
IF(WEEKDAY(B57)=6,"金",
IF(WEEKDAY(B57)=7,"土"))))))))</f>
        <v/>
      </c>
      <c r="B57" s="32"/>
      <c r="C57" s="20"/>
      <c r="D57" s="21"/>
      <c r="E57" s="20"/>
      <c r="F57" s="21"/>
      <c r="G57" s="22">
        <f t="shared" si="7"/>
        <v>0</v>
      </c>
      <c r="H57" s="23">
        <f>SUMIF(Tabelle1[日付],Tabelle1[[#This Row],[日付]],Tabelle1[労働時間])</f>
        <v>0</v>
      </c>
      <c r="I57" s="23" cm="1">
        <f t="array" ref="I57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57" s="24"/>
      <c r="K57" s="30"/>
      <c r="L57" s="31"/>
      <c r="M57" s="27" t="str">
        <f>IF(J57&lt;&gt;0,VLOOKUP(J57,基本情報!$B$19:$E$26,3,),"")</f>
        <v/>
      </c>
      <c r="N57" s="88" t="str">
        <f>IF(AND(J57&lt;&gt;Tabelle1[[#This Row],[請求有無]],M57="有"),VLOOKUP(J57,基本情報!$B$19:$E$26,4,),"")</f>
        <v/>
      </c>
      <c r="O57" s="89" t="str">
        <f t="shared" si="5"/>
        <v/>
      </c>
      <c r="P57" s="28">
        <f t="shared" si="6"/>
        <v>1</v>
      </c>
      <c r="Q57" s="29">
        <f>TIME(Tabelle1[[#This Row],[時]],Tabelle1[[#This Row],[分]],)</f>
        <v>0</v>
      </c>
      <c r="R57" s="29">
        <f>TIME(Tabelle1[[#This Row],[時2]],Tabelle1[[#This Row],[分3]],)</f>
        <v>0</v>
      </c>
      <c r="S57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57" s="29" t="b">
        <f>(Tabelle1[[#This Row],[1日の労働時間]]&gt;基本情報!$D$12)</f>
        <v>0</v>
      </c>
    </row>
    <row r="58" spans="1:20" x14ac:dyDescent="0.15">
      <c r="A58" s="19" t="str">
        <f>IF(Tabelle1[[#This Row],[日付]]=0,"",
IF(WEEKDAY(B58)=1,"日",
IF(WEEKDAY(B58)=2,"月",
IF(WEEKDAY(B58)=3,"火",
IF(WEEKDAY(B58)=4,"水",
IF(WEEKDAY(B58)=5,"木",
IF(WEEKDAY(B58)=6,"金",
IF(WEEKDAY(B58)=7,"土"))))))))</f>
        <v/>
      </c>
      <c r="B58" s="32"/>
      <c r="C58" s="20"/>
      <c r="D58" s="21"/>
      <c r="E58" s="20"/>
      <c r="F58" s="21"/>
      <c r="G58" s="22">
        <f t="shared" si="7"/>
        <v>0</v>
      </c>
      <c r="H58" s="23">
        <f>SUMIF(Tabelle1[日付],Tabelle1[[#This Row],[日付]],Tabelle1[労働時間])</f>
        <v>0</v>
      </c>
      <c r="I58" s="23" cm="1">
        <f t="array" ref="I58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58" s="24"/>
      <c r="K58" s="30"/>
      <c r="L58" s="31"/>
      <c r="M58" s="27" t="str">
        <f>IF(J58&lt;&gt;0,VLOOKUP(J58,基本情報!$B$19:$E$26,3,),"")</f>
        <v/>
      </c>
      <c r="N58" s="88" t="str">
        <f>IF(AND(J58&lt;&gt;Tabelle1[[#This Row],[請求有無]],M58="有"),VLOOKUP(J58,基本情報!$B$19:$E$26,4,),"")</f>
        <v/>
      </c>
      <c r="O58" s="89" t="str">
        <f t="shared" si="5"/>
        <v/>
      </c>
      <c r="P58" s="28">
        <f t="shared" si="6"/>
        <v>1</v>
      </c>
      <c r="Q58" s="29">
        <f>TIME(Tabelle1[[#This Row],[時]],Tabelle1[[#This Row],[分]],)</f>
        <v>0</v>
      </c>
      <c r="R58" s="29">
        <f>TIME(Tabelle1[[#This Row],[時2]],Tabelle1[[#This Row],[分3]],)</f>
        <v>0</v>
      </c>
      <c r="S58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58" s="29" t="b">
        <f>(Tabelle1[[#This Row],[1日の労働時間]]&gt;基本情報!$D$12)</f>
        <v>0</v>
      </c>
    </row>
    <row r="59" spans="1:20" x14ac:dyDescent="0.15">
      <c r="A59" s="19" t="str">
        <f>IF(Tabelle1[[#This Row],[日付]]=0,"",
IF(WEEKDAY(B59)=1,"日",
IF(WEEKDAY(B59)=2,"月",
IF(WEEKDAY(B59)=3,"火",
IF(WEEKDAY(B59)=4,"水",
IF(WEEKDAY(B59)=5,"木",
IF(WEEKDAY(B59)=6,"金",
IF(WEEKDAY(B59)=7,"土"))))))))</f>
        <v/>
      </c>
      <c r="B59" s="32"/>
      <c r="C59" s="20"/>
      <c r="D59" s="21"/>
      <c r="E59" s="20"/>
      <c r="F59" s="21"/>
      <c r="G59" s="22">
        <f t="shared" si="7"/>
        <v>0</v>
      </c>
      <c r="H59" s="23">
        <f>SUMIF(Tabelle1[日付],Tabelle1[[#This Row],[日付]],Tabelle1[労働時間])</f>
        <v>0</v>
      </c>
      <c r="I59" s="23" cm="1">
        <f t="array" ref="I59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59" s="24"/>
      <c r="K59" s="30"/>
      <c r="L59" s="31"/>
      <c r="M59" s="27" t="str">
        <f>IF(J59&lt;&gt;0,VLOOKUP(J59,基本情報!$B$19:$E$26,3,),"")</f>
        <v/>
      </c>
      <c r="N59" s="88" t="str">
        <f>IF(AND(J59&lt;&gt;Tabelle1[[#This Row],[請求有無]],M59="有"),VLOOKUP(J59,基本情報!$B$19:$E$26,4,),"")</f>
        <v/>
      </c>
      <c r="O59" s="89" t="str">
        <f t="shared" si="5"/>
        <v/>
      </c>
      <c r="P59" s="28">
        <f t="shared" si="6"/>
        <v>1</v>
      </c>
      <c r="Q59" s="29">
        <f>TIME(Tabelle1[[#This Row],[時]],Tabelle1[[#This Row],[分]],)</f>
        <v>0</v>
      </c>
      <c r="R59" s="29">
        <f>TIME(Tabelle1[[#This Row],[時2]],Tabelle1[[#This Row],[分3]],)</f>
        <v>0</v>
      </c>
      <c r="S59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59" s="29" t="b">
        <f>(Tabelle1[[#This Row],[1日の労働時間]]&gt;基本情報!$D$12)</f>
        <v>0</v>
      </c>
    </row>
    <row r="60" spans="1:20" x14ac:dyDescent="0.15">
      <c r="A60" s="19" t="str">
        <f>IF(Tabelle1[[#This Row],[日付]]=0,"",
IF(WEEKDAY(B60)=1,"日",
IF(WEEKDAY(B60)=2,"月",
IF(WEEKDAY(B60)=3,"火",
IF(WEEKDAY(B60)=4,"水",
IF(WEEKDAY(B60)=5,"木",
IF(WEEKDAY(B60)=6,"金",
IF(WEEKDAY(B60)=7,"土"))))))))</f>
        <v/>
      </c>
      <c r="B60" s="32"/>
      <c r="C60" s="20"/>
      <c r="D60" s="21"/>
      <c r="E60" s="20"/>
      <c r="F60" s="21"/>
      <c r="G60" s="22">
        <f t="shared" si="7"/>
        <v>0</v>
      </c>
      <c r="H60" s="23">
        <f>SUMIF(Tabelle1[日付],Tabelle1[[#This Row],[日付]],Tabelle1[労働時間])</f>
        <v>0</v>
      </c>
      <c r="I60" s="23" cm="1">
        <f t="array" ref="I60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60" s="24"/>
      <c r="K60" s="30"/>
      <c r="L60" s="31"/>
      <c r="M60" s="27" t="str">
        <f>IF(J60&lt;&gt;0,VLOOKUP(J60,基本情報!$B$19:$E$26,3,),"")</f>
        <v/>
      </c>
      <c r="N60" s="88" t="str">
        <f>IF(AND(J60&lt;&gt;Tabelle1[[#This Row],[請求有無]],M60="有"),VLOOKUP(J60,基本情報!$B$19:$E$26,4,),"")</f>
        <v/>
      </c>
      <c r="O60" s="89" t="str">
        <f t="shared" si="5"/>
        <v/>
      </c>
      <c r="P60" s="28">
        <f t="shared" si="6"/>
        <v>1</v>
      </c>
      <c r="Q60" s="29">
        <f>TIME(Tabelle1[[#This Row],[時]],Tabelle1[[#This Row],[分]],)</f>
        <v>0</v>
      </c>
      <c r="R60" s="29">
        <f>TIME(Tabelle1[[#This Row],[時2]],Tabelle1[[#This Row],[分3]],)</f>
        <v>0</v>
      </c>
      <c r="S60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60" s="29" t="b">
        <f>(Tabelle1[[#This Row],[1日の労働時間]]&gt;基本情報!$D$12)</f>
        <v>0</v>
      </c>
    </row>
    <row r="61" spans="1:20" x14ac:dyDescent="0.15">
      <c r="A61" s="19" t="str">
        <f>IF(Tabelle1[[#This Row],[日付]]=0,"",
IF(WEEKDAY(B61)=1,"日",
IF(WEEKDAY(B61)=2,"月",
IF(WEEKDAY(B61)=3,"火",
IF(WEEKDAY(B61)=4,"水",
IF(WEEKDAY(B61)=5,"木",
IF(WEEKDAY(B61)=6,"金",
IF(WEEKDAY(B61)=7,"土"))))))))</f>
        <v/>
      </c>
      <c r="B61" s="32"/>
      <c r="C61" s="20"/>
      <c r="D61" s="21"/>
      <c r="E61" s="20"/>
      <c r="F61" s="21"/>
      <c r="G61" s="22">
        <f t="shared" si="7"/>
        <v>0</v>
      </c>
      <c r="H61" s="23">
        <f>SUMIF(Tabelle1[日付],Tabelle1[[#This Row],[日付]],Tabelle1[労働時間])</f>
        <v>0</v>
      </c>
      <c r="I61" s="23" cm="1">
        <f t="array" ref="I61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61" s="24"/>
      <c r="K61" s="30"/>
      <c r="L61" s="31"/>
      <c r="M61" s="27" t="str">
        <f>IF(J61&lt;&gt;0,VLOOKUP(J61,基本情報!$B$19:$E$26,3,),"")</f>
        <v/>
      </c>
      <c r="N61" s="88" t="str">
        <f>IF(AND(J61&lt;&gt;Tabelle1[[#This Row],[請求有無]],M61="有"),VLOOKUP(J61,基本情報!$B$19:$E$26,4,),"")</f>
        <v/>
      </c>
      <c r="O61" s="89" t="str">
        <f t="shared" si="5"/>
        <v/>
      </c>
      <c r="P61" s="28">
        <f t="shared" si="6"/>
        <v>1</v>
      </c>
      <c r="Q61" s="29">
        <f>TIME(Tabelle1[[#This Row],[時]],Tabelle1[[#This Row],[分]],)</f>
        <v>0</v>
      </c>
      <c r="R61" s="29">
        <f>TIME(Tabelle1[[#This Row],[時2]],Tabelle1[[#This Row],[分3]],)</f>
        <v>0</v>
      </c>
      <c r="S61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61" s="29" t="b">
        <f>(Tabelle1[[#This Row],[1日の労働時間]]&gt;基本情報!$D$12)</f>
        <v>0</v>
      </c>
    </row>
    <row r="62" spans="1:20" x14ac:dyDescent="0.15">
      <c r="A62" s="19" t="str">
        <f>IF(Tabelle1[[#This Row],[日付]]=0,"",
IF(WEEKDAY(B62)=1,"日",
IF(WEEKDAY(B62)=2,"月",
IF(WEEKDAY(B62)=3,"火",
IF(WEEKDAY(B62)=4,"水",
IF(WEEKDAY(B62)=5,"木",
IF(WEEKDAY(B62)=6,"金",
IF(WEEKDAY(B62)=7,"土"))))))))</f>
        <v/>
      </c>
      <c r="B62" s="32"/>
      <c r="C62" s="20"/>
      <c r="D62" s="21"/>
      <c r="E62" s="20"/>
      <c r="F62" s="21"/>
      <c r="G62" s="22">
        <f t="shared" si="7"/>
        <v>0</v>
      </c>
      <c r="H62" s="23">
        <f>SUMIF(Tabelle1[日付],Tabelle1[[#This Row],[日付]],Tabelle1[労働時間])</f>
        <v>0</v>
      </c>
      <c r="I62" s="23" cm="1">
        <f t="array" ref="I62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62" s="24"/>
      <c r="K62" s="30"/>
      <c r="L62" s="31"/>
      <c r="M62" s="27" t="str">
        <f>IF(J62&lt;&gt;0,VLOOKUP(J62,基本情報!$B$19:$E$26,3,),"")</f>
        <v/>
      </c>
      <c r="N62" s="88" t="str">
        <f>IF(AND(J62&lt;&gt;Tabelle1[[#This Row],[請求有無]],M62="有"),VLOOKUP(J62,基本情報!$B$19:$E$26,4,),"")</f>
        <v/>
      </c>
      <c r="O62" s="89" t="str">
        <f t="shared" si="5"/>
        <v/>
      </c>
      <c r="P62" s="28">
        <f t="shared" si="6"/>
        <v>1</v>
      </c>
      <c r="Q62" s="29">
        <f>TIME(Tabelle1[[#This Row],[時]],Tabelle1[[#This Row],[分]],)</f>
        <v>0</v>
      </c>
      <c r="R62" s="29">
        <f>TIME(Tabelle1[[#This Row],[時2]],Tabelle1[[#This Row],[分3]],)</f>
        <v>0</v>
      </c>
      <c r="S62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62" s="29" t="b">
        <f>(Tabelle1[[#This Row],[1日の労働時間]]&gt;基本情報!$D$12)</f>
        <v>0</v>
      </c>
    </row>
    <row r="63" spans="1:20" x14ac:dyDescent="0.15">
      <c r="A63" s="19" t="str">
        <f>IF(Tabelle1[[#This Row],[日付]]=0,"",
IF(WEEKDAY(B63)=1,"日",
IF(WEEKDAY(B63)=2,"月",
IF(WEEKDAY(B63)=3,"火",
IF(WEEKDAY(B63)=4,"水",
IF(WEEKDAY(B63)=5,"木",
IF(WEEKDAY(B63)=6,"金",
IF(WEEKDAY(B63)=7,"土"))))))))</f>
        <v/>
      </c>
      <c r="B63" s="32"/>
      <c r="C63" s="20"/>
      <c r="D63" s="21"/>
      <c r="E63" s="20"/>
      <c r="F63" s="21"/>
      <c r="G63" s="22">
        <f t="shared" si="7"/>
        <v>0</v>
      </c>
      <c r="H63" s="23">
        <f>SUMIF(Tabelle1[日付],Tabelle1[[#This Row],[日付]],Tabelle1[労働時間])</f>
        <v>0</v>
      </c>
      <c r="I63" s="23" cm="1">
        <f t="array" ref="I63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63" s="24"/>
      <c r="K63" s="30"/>
      <c r="L63" s="31"/>
      <c r="M63" s="27" t="str">
        <f>IF(J63&lt;&gt;0,VLOOKUP(J63,基本情報!$B$19:$E$26,3,),"")</f>
        <v/>
      </c>
      <c r="N63" s="88" t="str">
        <f>IF(AND(J63&lt;&gt;Tabelle1[[#This Row],[請求有無]],M63="有"),VLOOKUP(J63,基本情報!$B$19:$E$26,4,),"")</f>
        <v/>
      </c>
      <c r="O63" s="89" t="str">
        <f t="shared" si="5"/>
        <v/>
      </c>
      <c r="P63" s="28">
        <f t="shared" si="6"/>
        <v>1</v>
      </c>
      <c r="Q63" s="29">
        <f>TIME(Tabelle1[[#This Row],[時]],Tabelle1[[#This Row],[分]],)</f>
        <v>0</v>
      </c>
      <c r="R63" s="29">
        <f>TIME(Tabelle1[[#This Row],[時2]],Tabelle1[[#This Row],[分3]],)</f>
        <v>0</v>
      </c>
      <c r="S63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63" s="29" t="b">
        <f>(Tabelle1[[#This Row],[1日の労働時間]]&gt;基本情報!$D$12)</f>
        <v>0</v>
      </c>
    </row>
    <row r="64" spans="1:20" x14ac:dyDescent="0.15">
      <c r="A64" s="19" t="str">
        <f>IF(Tabelle1[[#This Row],[日付]]=0,"",
IF(WEEKDAY(B64)=1,"日",
IF(WEEKDAY(B64)=2,"月",
IF(WEEKDAY(B64)=3,"火",
IF(WEEKDAY(B64)=4,"水",
IF(WEEKDAY(B64)=5,"木",
IF(WEEKDAY(B64)=6,"金",
IF(WEEKDAY(B64)=7,"土"))))))))</f>
        <v/>
      </c>
      <c r="B64" s="32"/>
      <c r="C64" s="20"/>
      <c r="D64" s="21"/>
      <c r="E64" s="20"/>
      <c r="F64" s="21"/>
      <c r="G64" s="22">
        <f t="shared" si="7"/>
        <v>0</v>
      </c>
      <c r="H64" s="23">
        <f>SUMIF(Tabelle1[日付],Tabelle1[[#This Row],[日付]],Tabelle1[労働時間])</f>
        <v>0</v>
      </c>
      <c r="I64" s="23" cm="1">
        <f t="array" ref="I64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64" s="24"/>
      <c r="K64" s="30"/>
      <c r="L64" s="31"/>
      <c r="M64" s="27" t="str">
        <f>IF(J64&lt;&gt;0,VLOOKUP(J64,基本情報!$B$19:$E$26,3,),"")</f>
        <v/>
      </c>
      <c r="N64" s="88" t="str">
        <f>IF(AND(J64&lt;&gt;Tabelle1[[#This Row],[請求有無]],M64="有"),VLOOKUP(J64,基本情報!$B$19:$E$26,4,),"")</f>
        <v/>
      </c>
      <c r="O64" s="89" t="str">
        <f t="shared" si="5"/>
        <v/>
      </c>
      <c r="P64" s="28">
        <f t="shared" si="6"/>
        <v>1</v>
      </c>
      <c r="Q64" s="29">
        <f>TIME(Tabelle1[[#This Row],[時]],Tabelle1[[#This Row],[分]],)</f>
        <v>0</v>
      </c>
      <c r="R64" s="29">
        <f>TIME(Tabelle1[[#This Row],[時2]],Tabelle1[[#This Row],[分3]],)</f>
        <v>0</v>
      </c>
      <c r="S64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64" s="29" t="b">
        <f>(Tabelle1[[#This Row],[1日の労働時間]]&gt;基本情報!$D$12)</f>
        <v>0</v>
      </c>
    </row>
    <row r="65" spans="1:20" x14ac:dyDescent="0.15">
      <c r="A65" s="19" t="str">
        <f>IF(Tabelle1[[#This Row],[日付]]=0,"",
IF(WEEKDAY(B65)=1,"日",
IF(WEEKDAY(B65)=2,"月",
IF(WEEKDAY(B65)=3,"火",
IF(WEEKDAY(B65)=4,"水",
IF(WEEKDAY(B65)=5,"木",
IF(WEEKDAY(B65)=6,"金",
IF(WEEKDAY(B65)=7,"土"))))))))</f>
        <v/>
      </c>
      <c r="B65" s="32"/>
      <c r="C65" s="20"/>
      <c r="D65" s="21"/>
      <c r="E65" s="20"/>
      <c r="F65" s="21"/>
      <c r="G65" s="22">
        <f t="shared" si="7"/>
        <v>0</v>
      </c>
      <c r="H65" s="23">
        <f>SUMIF(Tabelle1[日付],Tabelle1[[#This Row],[日付]],Tabelle1[労働時間])</f>
        <v>0</v>
      </c>
      <c r="I65" s="23" cm="1">
        <f t="array" ref="I65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65" s="24"/>
      <c r="K65" s="30"/>
      <c r="L65" s="31"/>
      <c r="M65" s="27" t="str">
        <f>IF(J65&lt;&gt;0,VLOOKUP(J65,基本情報!$B$19:$E$26,3,),"")</f>
        <v/>
      </c>
      <c r="N65" s="88" t="str">
        <f>IF(AND(J65&lt;&gt;Tabelle1[[#This Row],[請求有無]],M65="有"),VLOOKUP(J65,基本情報!$B$19:$E$26,4,),"")</f>
        <v/>
      </c>
      <c r="O65" s="89" t="str">
        <f t="shared" si="5"/>
        <v/>
      </c>
      <c r="P65" s="28">
        <f t="shared" si="6"/>
        <v>1</v>
      </c>
      <c r="Q65" s="29">
        <f>TIME(Tabelle1[[#This Row],[時]],Tabelle1[[#This Row],[分]],)</f>
        <v>0</v>
      </c>
      <c r="R65" s="29">
        <f>TIME(Tabelle1[[#This Row],[時2]],Tabelle1[[#This Row],[分3]],)</f>
        <v>0</v>
      </c>
      <c r="S65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65" s="29" t="b">
        <f>(Tabelle1[[#This Row],[1日の労働時間]]&gt;基本情報!$D$12)</f>
        <v>0</v>
      </c>
    </row>
    <row r="66" spans="1:20" x14ac:dyDescent="0.15">
      <c r="A66" s="19" t="str">
        <f>IF(Tabelle1[[#This Row],[日付]]=0,"",
IF(WEEKDAY(B66)=1,"日",
IF(WEEKDAY(B66)=2,"月",
IF(WEEKDAY(B66)=3,"火",
IF(WEEKDAY(B66)=4,"水",
IF(WEEKDAY(B66)=5,"木",
IF(WEEKDAY(B66)=6,"金",
IF(WEEKDAY(B66)=7,"土"))))))))</f>
        <v/>
      </c>
      <c r="B66" s="32"/>
      <c r="C66" s="20"/>
      <c r="D66" s="21"/>
      <c r="E66" s="20"/>
      <c r="F66" s="21"/>
      <c r="G66" s="22">
        <f t="shared" si="7"/>
        <v>0</v>
      </c>
      <c r="H66" s="23">
        <f>SUMIF(Tabelle1[日付],Tabelle1[[#This Row],[日付]],Tabelle1[労働時間])</f>
        <v>0</v>
      </c>
      <c r="I66" s="23" cm="1">
        <f t="array" ref="I66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66" s="24"/>
      <c r="K66" s="30"/>
      <c r="L66" s="31"/>
      <c r="M66" s="27" t="str">
        <f>IF(J66&lt;&gt;0,VLOOKUP(J66,基本情報!$B$19:$E$26,3,),"")</f>
        <v/>
      </c>
      <c r="N66" s="88" t="str">
        <f>IF(AND(J66&lt;&gt;Tabelle1[[#This Row],[請求有無]],M66="有"),VLOOKUP(J66,基本情報!$B$19:$E$26,4,),"")</f>
        <v/>
      </c>
      <c r="O66" s="89" t="str">
        <f t="shared" si="5"/>
        <v/>
      </c>
      <c r="P66" s="28">
        <f t="shared" si="6"/>
        <v>1</v>
      </c>
      <c r="Q66" s="29">
        <f>TIME(Tabelle1[[#This Row],[時]],Tabelle1[[#This Row],[分]],)</f>
        <v>0</v>
      </c>
      <c r="R66" s="29">
        <f>TIME(Tabelle1[[#This Row],[時2]],Tabelle1[[#This Row],[分3]],)</f>
        <v>0</v>
      </c>
      <c r="S66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66" s="29" t="b">
        <f>(Tabelle1[[#This Row],[1日の労働時間]]&gt;基本情報!$D$12)</f>
        <v>0</v>
      </c>
    </row>
    <row r="67" spans="1:20" x14ac:dyDescent="0.15">
      <c r="A67" s="19" t="str">
        <f>IF(Tabelle1[[#This Row],[日付]]=0,"",
IF(WEEKDAY(B67)=1,"日",
IF(WEEKDAY(B67)=2,"月",
IF(WEEKDAY(B67)=3,"火",
IF(WEEKDAY(B67)=4,"水",
IF(WEEKDAY(B67)=5,"木",
IF(WEEKDAY(B67)=6,"金",
IF(WEEKDAY(B67)=7,"土"))))))))</f>
        <v/>
      </c>
      <c r="B67" s="32"/>
      <c r="C67" s="20"/>
      <c r="D67" s="21"/>
      <c r="E67" s="20"/>
      <c r="F67" s="21"/>
      <c r="G67" s="22">
        <f t="shared" si="7"/>
        <v>0</v>
      </c>
      <c r="H67" s="23">
        <f>SUMIF(Tabelle1[日付],Tabelle1[[#This Row],[日付]],Tabelle1[労働時間])</f>
        <v>0</v>
      </c>
      <c r="I67" s="23" cm="1">
        <f t="array" ref="I67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67" s="24"/>
      <c r="K67" s="30"/>
      <c r="L67" s="31"/>
      <c r="M67" s="27" t="str">
        <f>IF(J67&lt;&gt;0,VLOOKUP(J67,基本情報!$B$19:$E$26,3,),"")</f>
        <v/>
      </c>
      <c r="N67" s="88" t="str">
        <f>IF(AND(J67&lt;&gt;Tabelle1[[#This Row],[請求有無]],M67="有"),VLOOKUP(J67,基本情報!$B$19:$E$26,4,),"")</f>
        <v/>
      </c>
      <c r="O67" s="89" t="str">
        <f t="shared" si="5"/>
        <v/>
      </c>
      <c r="P67" s="28">
        <f t="shared" si="6"/>
        <v>1</v>
      </c>
      <c r="Q67" s="29">
        <f>TIME(Tabelle1[[#This Row],[時]],Tabelle1[[#This Row],[分]],)</f>
        <v>0</v>
      </c>
      <c r="R67" s="29">
        <f>TIME(Tabelle1[[#This Row],[時2]],Tabelle1[[#This Row],[分3]],)</f>
        <v>0</v>
      </c>
      <c r="S67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67" s="29" t="b">
        <f>(Tabelle1[[#This Row],[1日の労働時間]]&gt;基本情報!$D$12)</f>
        <v>0</v>
      </c>
    </row>
    <row r="68" spans="1:20" x14ac:dyDescent="0.15">
      <c r="A68" s="19" t="str">
        <f>IF(Tabelle1[[#This Row],[日付]]=0,"",
IF(WEEKDAY(B68)=1,"日",
IF(WEEKDAY(B68)=2,"月",
IF(WEEKDAY(B68)=3,"火",
IF(WEEKDAY(B68)=4,"水",
IF(WEEKDAY(B68)=5,"木",
IF(WEEKDAY(B68)=6,"金",
IF(WEEKDAY(B68)=7,"土"))))))))</f>
        <v/>
      </c>
      <c r="B68" s="32"/>
      <c r="C68" s="20"/>
      <c r="D68" s="21"/>
      <c r="E68" s="20"/>
      <c r="F68" s="21"/>
      <c r="G68" s="22">
        <f t="shared" si="7"/>
        <v>0</v>
      </c>
      <c r="H68" s="23">
        <f>SUMIF(Tabelle1[日付],Tabelle1[[#This Row],[日付]],Tabelle1[労働時間])</f>
        <v>0</v>
      </c>
      <c r="I68" s="23" cm="1">
        <f t="array" ref="I68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68" s="24"/>
      <c r="K68" s="30"/>
      <c r="L68" s="31"/>
      <c r="M68" s="27" t="str">
        <f>IF(J68&lt;&gt;0,VLOOKUP(J68,基本情報!$B$19:$E$26,3,),"")</f>
        <v/>
      </c>
      <c r="N68" s="88" t="str">
        <f>IF(AND(J68&lt;&gt;Tabelle1[[#This Row],[請求有無]],M68="有"),VLOOKUP(J68,基本情報!$B$19:$E$26,4,),"")</f>
        <v/>
      </c>
      <c r="O68" s="89" t="str">
        <f t="shared" si="5"/>
        <v/>
      </c>
      <c r="P68" s="28">
        <f t="shared" si="6"/>
        <v>1</v>
      </c>
      <c r="Q68" s="29">
        <f>TIME(Tabelle1[[#This Row],[時]],Tabelle1[[#This Row],[分]],)</f>
        <v>0</v>
      </c>
      <c r="R68" s="29">
        <f>TIME(Tabelle1[[#This Row],[時2]],Tabelle1[[#This Row],[分3]],)</f>
        <v>0</v>
      </c>
      <c r="S68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68" s="29" t="b">
        <f>(Tabelle1[[#This Row],[1日の労働時間]]&gt;基本情報!$D$12)</f>
        <v>0</v>
      </c>
    </row>
    <row r="69" spans="1:20" x14ac:dyDescent="0.15">
      <c r="A69" s="19" t="str">
        <f>IF(Tabelle1[[#This Row],[日付]]=0,"",
IF(WEEKDAY(B69)=1,"日",
IF(WEEKDAY(B69)=2,"月",
IF(WEEKDAY(B69)=3,"火",
IF(WEEKDAY(B69)=4,"水",
IF(WEEKDAY(B69)=5,"木",
IF(WEEKDAY(B69)=6,"金",
IF(WEEKDAY(B69)=7,"土"))))))))</f>
        <v/>
      </c>
      <c r="B69" s="32"/>
      <c r="C69" s="20"/>
      <c r="D69" s="21"/>
      <c r="E69" s="20"/>
      <c r="F69" s="21"/>
      <c r="G69" s="22">
        <f t="shared" si="7"/>
        <v>0</v>
      </c>
      <c r="H69" s="23">
        <f>SUMIF(Tabelle1[日付],Tabelle1[[#This Row],[日付]],Tabelle1[労働時間])</f>
        <v>0</v>
      </c>
      <c r="I69" s="23" cm="1">
        <f t="array" ref="I69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69" s="24"/>
      <c r="K69" s="30"/>
      <c r="L69" s="31"/>
      <c r="M69" s="27" t="str">
        <f>IF(J69&lt;&gt;0,VLOOKUP(J69,基本情報!$B$19:$E$26,3,),"")</f>
        <v/>
      </c>
      <c r="N69" s="88" t="str">
        <f>IF(AND(J69&lt;&gt;Tabelle1[[#This Row],[請求有無]],M69="有"),VLOOKUP(J69,基本情報!$B$19:$E$26,4,),"")</f>
        <v/>
      </c>
      <c r="O69" s="89" t="str">
        <f t="shared" si="5"/>
        <v/>
      </c>
      <c r="P69" s="28">
        <f t="shared" si="6"/>
        <v>1</v>
      </c>
      <c r="Q69" s="29">
        <f>TIME(Tabelle1[[#This Row],[時]],Tabelle1[[#This Row],[分]],)</f>
        <v>0</v>
      </c>
      <c r="R69" s="29">
        <f>TIME(Tabelle1[[#This Row],[時2]],Tabelle1[[#This Row],[分3]],)</f>
        <v>0</v>
      </c>
      <c r="S69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69" s="29" t="b">
        <f>(Tabelle1[[#This Row],[1日の労働時間]]&gt;基本情報!$D$12)</f>
        <v>0</v>
      </c>
    </row>
    <row r="70" spans="1:20" x14ac:dyDescent="0.15">
      <c r="A70" s="19" t="str">
        <f>IF(Tabelle1[[#This Row],[日付]]=0,"",
IF(WEEKDAY(B70)=1,"日",
IF(WEEKDAY(B70)=2,"月",
IF(WEEKDAY(B70)=3,"火",
IF(WEEKDAY(B70)=4,"水",
IF(WEEKDAY(B70)=5,"木",
IF(WEEKDAY(B70)=6,"金",
IF(WEEKDAY(B70)=7,"土"))))))))</f>
        <v/>
      </c>
      <c r="B70" s="32"/>
      <c r="C70" s="20"/>
      <c r="D70" s="21"/>
      <c r="E70" s="20"/>
      <c r="F70" s="21"/>
      <c r="G70" s="22">
        <f t="shared" si="7"/>
        <v>0</v>
      </c>
      <c r="H70" s="23">
        <f>SUMIF(Tabelle1[日付],Tabelle1[[#This Row],[日付]],Tabelle1[労働時間])</f>
        <v>0</v>
      </c>
      <c r="I70" s="23" cm="1">
        <f t="array" ref="I70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70" s="24"/>
      <c r="K70" s="30"/>
      <c r="L70" s="31"/>
      <c r="M70" s="27" t="str">
        <f>IF(J70&lt;&gt;0,VLOOKUP(J70,基本情報!$B$19:$E$26,3,),"")</f>
        <v/>
      </c>
      <c r="N70" s="88" t="str">
        <f>IF(AND(J70&lt;&gt;Tabelle1[[#This Row],[請求有無]],M70="有"),VLOOKUP(J70,基本情報!$B$19:$E$26,4,),"")</f>
        <v/>
      </c>
      <c r="O70" s="89" t="str">
        <f t="shared" si="5"/>
        <v/>
      </c>
      <c r="P70" s="28">
        <f t="shared" si="6"/>
        <v>1</v>
      </c>
      <c r="Q70" s="29">
        <f>TIME(Tabelle1[[#This Row],[時]],Tabelle1[[#This Row],[分]],)</f>
        <v>0</v>
      </c>
      <c r="R70" s="29">
        <f>TIME(Tabelle1[[#This Row],[時2]],Tabelle1[[#This Row],[分3]],)</f>
        <v>0</v>
      </c>
      <c r="S70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70" s="29" t="b">
        <f>(Tabelle1[[#This Row],[1日の労働時間]]&gt;基本情報!$D$12)</f>
        <v>0</v>
      </c>
    </row>
    <row r="71" spans="1:20" x14ac:dyDescent="0.15">
      <c r="A71" s="19" t="str">
        <f>IF(Tabelle1[[#This Row],[日付]]=0,"",
IF(WEEKDAY(B71)=1,"日",
IF(WEEKDAY(B71)=2,"月",
IF(WEEKDAY(B71)=3,"火",
IF(WEEKDAY(B71)=4,"水",
IF(WEEKDAY(B71)=5,"木",
IF(WEEKDAY(B71)=6,"金",
IF(WEEKDAY(B71)=7,"土"))))))))</f>
        <v/>
      </c>
      <c r="B71" s="32"/>
      <c r="C71" s="20"/>
      <c r="D71" s="21"/>
      <c r="E71" s="20"/>
      <c r="F71" s="21"/>
      <c r="G71" s="22">
        <f t="shared" ref="G71:G86" si="8">ROUND((E71*60+F71-C71*60-D71)/60,2)</f>
        <v>0</v>
      </c>
      <c r="H71" s="23">
        <f>SUMIF(Tabelle1[日付],Tabelle1[[#This Row],[日付]],Tabelle1[労働時間])</f>
        <v>0</v>
      </c>
      <c r="I71" s="23" cm="1">
        <f t="array" ref="I71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71" s="24"/>
      <c r="K71" s="30"/>
      <c r="L71" s="31"/>
      <c r="M71" s="27" t="str">
        <f>IF(J71&lt;&gt;0,VLOOKUP(J71,基本情報!$B$19:$E$26,3,),"")</f>
        <v/>
      </c>
      <c r="N71" s="88" t="str">
        <f>IF(AND(J71&lt;&gt;Tabelle1[[#This Row],[請求有無]],M71="有"),VLOOKUP(J71,基本情報!$B$19:$E$26,4,),"")</f>
        <v/>
      </c>
      <c r="O71" s="89" t="str">
        <f t="shared" si="5"/>
        <v/>
      </c>
      <c r="P71" s="28">
        <f t="shared" si="6"/>
        <v>1</v>
      </c>
      <c r="Q71" s="29">
        <f>TIME(Tabelle1[[#This Row],[時]],Tabelle1[[#This Row],[分]],)</f>
        <v>0</v>
      </c>
      <c r="R71" s="29">
        <f>TIME(Tabelle1[[#This Row],[時2]],Tabelle1[[#This Row],[分3]],)</f>
        <v>0</v>
      </c>
      <c r="S71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71" s="29" t="b">
        <f>(Tabelle1[[#This Row],[1日の労働時間]]&gt;基本情報!$D$12)</f>
        <v>0</v>
      </c>
    </row>
    <row r="72" spans="1:20" x14ac:dyDescent="0.15">
      <c r="A72" s="19" t="str">
        <f>IF(Tabelle1[[#This Row],[日付]]=0,"",
IF(WEEKDAY(B72)=1,"日",
IF(WEEKDAY(B72)=2,"月",
IF(WEEKDAY(B72)=3,"火",
IF(WEEKDAY(B72)=4,"水",
IF(WEEKDAY(B72)=5,"木",
IF(WEEKDAY(B72)=6,"金",
IF(WEEKDAY(B72)=7,"土"))))))))</f>
        <v/>
      </c>
      <c r="B72" s="32"/>
      <c r="C72" s="20"/>
      <c r="D72" s="21"/>
      <c r="E72" s="20"/>
      <c r="F72" s="21"/>
      <c r="G72" s="22">
        <f t="shared" si="8"/>
        <v>0</v>
      </c>
      <c r="H72" s="23">
        <f>SUMIF(Tabelle1[日付],Tabelle1[[#This Row],[日付]],Tabelle1[労働時間])</f>
        <v>0</v>
      </c>
      <c r="I72" s="23" cm="1">
        <f t="array" ref="I72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72" s="24"/>
      <c r="K72" s="30"/>
      <c r="L72" s="31"/>
      <c r="M72" s="27" t="str">
        <f>IF(J72&lt;&gt;0,VLOOKUP(J72,基本情報!$B$19:$E$26,3,),"")</f>
        <v/>
      </c>
      <c r="N72" s="88" t="str">
        <f>IF(AND(J72&lt;&gt;Tabelle1[[#This Row],[請求有無]],M72="有"),VLOOKUP(J72,基本情報!$B$19:$E$26,4,),"")</f>
        <v/>
      </c>
      <c r="O72" s="89" t="str">
        <f t="shared" ref="O72:O103" si="9">IF(M72="有",N72*G72,"")</f>
        <v/>
      </c>
      <c r="P72" s="28">
        <f t="shared" si="6"/>
        <v>1</v>
      </c>
      <c r="Q72" s="29">
        <f>TIME(Tabelle1[[#This Row],[時]],Tabelle1[[#This Row],[分]],)</f>
        <v>0</v>
      </c>
      <c r="R72" s="29">
        <f>TIME(Tabelle1[[#This Row],[時2]],Tabelle1[[#This Row],[分3]],)</f>
        <v>0</v>
      </c>
      <c r="S72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72" s="29" t="b">
        <f>(Tabelle1[[#This Row],[1日の労働時間]]&gt;基本情報!$D$12)</f>
        <v>0</v>
      </c>
    </row>
    <row r="73" spans="1:20" x14ac:dyDescent="0.15">
      <c r="A73" s="19" t="str">
        <f>IF(Tabelle1[[#This Row],[日付]]=0,"",
IF(WEEKDAY(B73)=1,"日",
IF(WEEKDAY(B73)=2,"月",
IF(WEEKDAY(B73)=3,"火",
IF(WEEKDAY(B73)=4,"水",
IF(WEEKDAY(B73)=5,"木",
IF(WEEKDAY(B73)=6,"金",
IF(WEEKDAY(B73)=7,"土"))))))))</f>
        <v/>
      </c>
      <c r="B73" s="32"/>
      <c r="C73" s="20"/>
      <c r="D73" s="21"/>
      <c r="E73" s="20"/>
      <c r="F73" s="21"/>
      <c r="G73" s="22">
        <f t="shared" si="8"/>
        <v>0</v>
      </c>
      <c r="H73" s="23">
        <f>SUMIF(Tabelle1[日付],Tabelle1[[#This Row],[日付]],Tabelle1[労働時間])</f>
        <v>0</v>
      </c>
      <c r="I73" s="23" cm="1">
        <f t="array" ref="I73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73" s="24"/>
      <c r="K73" s="30"/>
      <c r="L73" s="31"/>
      <c r="M73" s="27" t="str">
        <f>IF(J73&lt;&gt;0,VLOOKUP(J73,基本情報!$B$19:$E$26,3,),"")</f>
        <v/>
      </c>
      <c r="N73" s="88" t="str">
        <f>IF(AND(J73&lt;&gt;Tabelle1[[#This Row],[請求有無]],M73="有"),VLOOKUP(J73,基本情報!$B$19:$E$26,4,),"")</f>
        <v/>
      </c>
      <c r="O73" s="89" t="str">
        <f t="shared" si="9"/>
        <v/>
      </c>
      <c r="P73" s="28">
        <f t="shared" si="6"/>
        <v>1</v>
      </c>
      <c r="Q73" s="29">
        <f>TIME(Tabelle1[[#This Row],[時]],Tabelle1[[#This Row],[分]],)</f>
        <v>0</v>
      </c>
      <c r="R73" s="29">
        <f>TIME(Tabelle1[[#This Row],[時2]],Tabelle1[[#This Row],[分3]],)</f>
        <v>0</v>
      </c>
      <c r="S73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73" s="29" t="b">
        <f>(Tabelle1[[#This Row],[1日の労働時間]]&gt;基本情報!$D$12)</f>
        <v>0</v>
      </c>
    </row>
    <row r="74" spans="1:20" x14ac:dyDescent="0.15">
      <c r="A74" s="19" t="str">
        <f>IF(Tabelle1[[#This Row],[日付]]=0,"",
IF(WEEKDAY(B74)=1,"日",
IF(WEEKDAY(B74)=2,"月",
IF(WEEKDAY(B74)=3,"火",
IF(WEEKDAY(B74)=4,"水",
IF(WEEKDAY(B74)=5,"木",
IF(WEEKDAY(B74)=6,"金",
IF(WEEKDAY(B74)=7,"土"))))))))</f>
        <v/>
      </c>
      <c r="B74" s="32"/>
      <c r="C74" s="20"/>
      <c r="D74" s="21"/>
      <c r="E74" s="20"/>
      <c r="F74" s="21"/>
      <c r="G74" s="22">
        <f t="shared" si="8"/>
        <v>0</v>
      </c>
      <c r="H74" s="23">
        <f>SUMIF(Tabelle1[日付],Tabelle1[[#This Row],[日付]],Tabelle1[労働時間])</f>
        <v>0</v>
      </c>
      <c r="I74" s="23" cm="1">
        <f t="array" ref="I74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74" s="24"/>
      <c r="K74" s="30"/>
      <c r="L74" s="31"/>
      <c r="M74" s="27" t="str">
        <f>IF(J74&lt;&gt;0,VLOOKUP(J74,基本情報!$B$19:$E$26,3,),"")</f>
        <v/>
      </c>
      <c r="N74" s="88" t="str">
        <f>IF(AND(J74&lt;&gt;Tabelle1[[#This Row],[請求有無]],M74="有"),VLOOKUP(J74,基本情報!$B$19:$E$26,4,),"")</f>
        <v/>
      </c>
      <c r="O74" s="89" t="str">
        <f t="shared" si="9"/>
        <v/>
      </c>
      <c r="P74" s="28">
        <f t="shared" ref="P74:P94" si="10">MONTH(B74)</f>
        <v>1</v>
      </c>
      <c r="Q74" s="29">
        <f>TIME(Tabelle1[[#This Row],[時]],Tabelle1[[#This Row],[分]],)</f>
        <v>0</v>
      </c>
      <c r="R74" s="29">
        <f>TIME(Tabelle1[[#This Row],[時2]],Tabelle1[[#This Row],[分3]],)</f>
        <v>0</v>
      </c>
      <c r="S74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74" s="29" t="b">
        <f>(Tabelle1[[#This Row],[1日の労働時間]]&gt;基本情報!$D$12)</f>
        <v>0</v>
      </c>
    </row>
    <row r="75" spans="1:20" x14ac:dyDescent="0.15">
      <c r="A75" s="19" t="str">
        <f>IF(Tabelle1[[#This Row],[日付]]=0,"",
IF(WEEKDAY(B75)=1,"日",
IF(WEEKDAY(B75)=2,"月",
IF(WEEKDAY(B75)=3,"火",
IF(WEEKDAY(B75)=4,"水",
IF(WEEKDAY(B75)=5,"木",
IF(WEEKDAY(B75)=6,"金",
IF(WEEKDAY(B75)=7,"土"))))))))</f>
        <v/>
      </c>
      <c r="B75" s="32"/>
      <c r="C75" s="20"/>
      <c r="D75" s="21"/>
      <c r="E75" s="20"/>
      <c r="F75" s="21"/>
      <c r="G75" s="22">
        <f t="shared" si="8"/>
        <v>0</v>
      </c>
      <c r="H75" s="23">
        <f>SUMIF(Tabelle1[日付],Tabelle1[[#This Row],[日付]],Tabelle1[労働時間])</f>
        <v>0</v>
      </c>
      <c r="I75" s="23" cm="1">
        <f t="array" ref="I75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75" s="24"/>
      <c r="K75" s="30"/>
      <c r="L75" s="31"/>
      <c r="M75" s="27" t="str">
        <f>IF(J75&lt;&gt;0,VLOOKUP(J75,基本情報!$B$19:$E$26,3,),"")</f>
        <v/>
      </c>
      <c r="N75" s="88" t="str">
        <f>IF(AND(J75&lt;&gt;Tabelle1[[#This Row],[請求有無]],M75="有"),VLOOKUP(J75,基本情報!$B$19:$E$26,4,),"")</f>
        <v/>
      </c>
      <c r="O75" s="89" t="str">
        <f t="shared" si="9"/>
        <v/>
      </c>
      <c r="P75" s="28">
        <f t="shared" si="10"/>
        <v>1</v>
      </c>
      <c r="Q75" s="29">
        <f>TIME(Tabelle1[[#This Row],[時]],Tabelle1[[#This Row],[分]],)</f>
        <v>0</v>
      </c>
      <c r="R75" s="29">
        <f>TIME(Tabelle1[[#This Row],[時2]],Tabelle1[[#This Row],[分3]],)</f>
        <v>0</v>
      </c>
      <c r="S75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75" s="29" t="b">
        <f>(Tabelle1[[#This Row],[1日の労働時間]]&gt;基本情報!$D$12)</f>
        <v>0</v>
      </c>
    </row>
    <row r="76" spans="1:20" x14ac:dyDescent="0.15">
      <c r="A76" s="19" t="str">
        <f>IF(Tabelle1[[#This Row],[日付]]=0,"",
IF(WEEKDAY(B76)=1,"日",
IF(WEEKDAY(B76)=2,"月",
IF(WEEKDAY(B76)=3,"火",
IF(WEEKDAY(B76)=4,"水",
IF(WEEKDAY(B76)=5,"木",
IF(WEEKDAY(B76)=6,"金",
IF(WEEKDAY(B76)=7,"土"))))))))</f>
        <v/>
      </c>
      <c r="B76" s="32"/>
      <c r="C76" s="20"/>
      <c r="D76" s="21"/>
      <c r="E76" s="20"/>
      <c r="F76" s="21"/>
      <c r="G76" s="22">
        <f t="shared" si="8"/>
        <v>0</v>
      </c>
      <c r="H76" s="23">
        <f>SUMIF(Tabelle1[日付],Tabelle1[[#This Row],[日付]],Tabelle1[労働時間])</f>
        <v>0</v>
      </c>
      <c r="I76" s="23" cm="1">
        <f t="array" ref="I76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76" s="24"/>
      <c r="K76" s="30"/>
      <c r="L76" s="31"/>
      <c r="M76" s="27" t="str">
        <f>IF(J76&lt;&gt;0,VLOOKUP(J76,基本情報!$B$19:$E$26,3,),"")</f>
        <v/>
      </c>
      <c r="N76" s="88" t="str">
        <f>IF(AND(J76&lt;&gt;Tabelle1[[#This Row],[請求有無]],M76="有"),VLOOKUP(J76,基本情報!$B$19:$E$26,4,),"")</f>
        <v/>
      </c>
      <c r="O76" s="89" t="str">
        <f t="shared" si="9"/>
        <v/>
      </c>
      <c r="P76" s="28">
        <f t="shared" si="10"/>
        <v>1</v>
      </c>
      <c r="Q76" s="29">
        <f>TIME(Tabelle1[[#This Row],[時]],Tabelle1[[#This Row],[分]],)</f>
        <v>0</v>
      </c>
      <c r="R76" s="29">
        <f>TIME(Tabelle1[[#This Row],[時2]],Tabelle1[[#This Row],[分3]],)</f>
        <v>0</v>
      </c>
      <c r="S76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76" s="29" t="b">
        <f>(Tabelle1[[#This Row],[1日の労働時間]]&gt;基本情報!$D$12)</f>
        <v>0</v>
      </c>
    </row>
    <row r="77" spans="1:20" x14ac:dyDescent="0.15">
      <c r="A77" s="19" t="str">
        <f>IF(Tabelle1[[#This Row],[日付]]=0,"",
IF(WEEKDAY(B77)=1,"日",
IF(WEEKDAY(B77)=2,"月",
IF(WEEKDAY(B77)=3,"火",
IF(WEEKDAY(B77)=4,"水",
IF(WEEKDAY(B77)=5,"木",
IF(WEEKDAY(B77)=6,"金",
IF(WEEKDAY(B77)=7,"土"))))))))</f>
        <v/>
      </c>
      <c r="B77" s="32"/>
      <c r="C77" s="20"/>
      <c r="D77" s="21"/>
      <c r="E77" s="20"/>
      <c r="F77" s="21"/>
      <c r="G77" s="22">
        <f t="shared" si="8"/>
        <v>0</v>
      </c>
      <c r="H77" s="23">
        <f>SUMIF(Tabelle1[日付],Tabelle1[[#This Row],[日付]],Tabelle1[労働時間])</f>
        <v>0</v>
      </c>
      <c r="I77" s="23" cm="1">
        <f t="array" ref="I77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77" s="24"/>
      <c r="K77" s="30"/>
      <c r="L77" s="31"/>
      <c r="M77" s="27" t="str">
        <f>IF(J77&lt;&gt;0,VLOOKUP(J77,基本情報!$B$19:$E$26,3,),"")</f>
        <v/>
      </c>
      <c r="N77" s="88" t="str">
        <f>IF(AND(J77&lt;&gt;Tabelle1[[#This Row],[請求有無]],M77="有"),VLOOKUP(J77,基本情報!$B$19:$E$26,4,),"")</f>
        <v/>
      </c>
      <c r="O77" s="89" t="str">
        <f t="shared" si="9"/>
        <v/>
      </c>
      <c r="P77" s="28">
        <f t="shared" si="10"/>
        <v>1</v>
      </c>
      <c r="Q77" s="29">
        <f>TIME(Tabelle1[[#This Row],[時]],Tabelle1[[#This Row],[分]],)</f>
        <v>0</v>
      </c>
      <c r="R77" s="29">
        <f>TIME(Tabelle1[[#This Row],[時2]],Tabelle1[[#This Row],[分3]],)</f>
        <v>0</v>
      </c>
      <c r="S77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77" s="29" t="b">
        <f>(Tabelle1[[#This Row],[1日の労働時間]]&gt;基本情報!$D$12)</f>
        <v>0</v>
      </c>
    </row>
    <row r="78" spans="1:20" x14ac:dyDescent="0.15">
      <c r="A78" s="19" t="str">
        <f>IF(Tabelle1[[#This Row],[日付]]=0,"",
IF(WEEKDAY(B78)=1,"日",
IF(WEEKDAY(B78)=2,"月",
IF(WEEKDAY(B78)=3,"火",
IF(WEEKDAY(B78)=4,"水",
IF(WEEKDAY(B78)=5,"木",
IF(WEEKDAY(B78)=6,"金",
IF(WEEKDAY(B78)=7,"土"))))))))</f>
        <v/>
      </c>
      <c r="B78" s="32"/>
      <c r="C78" s="20"/>
      <c r="D78" s="21"/>
      <c r="E78" s="20"/>
      <c r="F78" s="21"/>
      <c r="G78" s="22">
        <f t="shared" si="8"/>
        <v>0</v>
      </c>
      <c r="H78" s="23">
        <f>SUMIF(Tabelle1[日付],Tabelle1[[#This Row],[日付]],Tabelle1[労働時間])</f>
        <v>0</v>
      </c>
      <c r="I78" s="23" cm="1">
        <f t="array" ref="I78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78" s="24"/>
      <c r="K78" s="30"/>
      <c r="L78" s="31"/>
      <c r="M78" s="27" t="str">
        <f>IF(J78&lt;&gt;0,VLOOKUP(J78,基本情報!$B$19:$E$26,3,),"")</f>
        <v/>
      </c>
      <c r="N78" s="88" t="str">
        <f>IF(AND(J78&lt;&gt;Tabelle1[[#This Row],[請求有無]],M78="有"),VLOOKUP(J78,基本情報!$B$19:$E$26,4,),"")</f>
        <v/>
      </c>
      <c r="O78" s="89" t="str">
        <f t="shared" si="9"/>
        <v/>
      </c>
      <c r="P78" s="28">
        <f t="shared" si="10"/>
        <v>1</v>
      </c>
      <c r="Q78" s="29">
        <f>TIME(Tabelle1[[#This Row],[時]],Tabelle1[[#This Row],[分]],)</f>
        <v>0</v>
      </c>
      <c r="R78" s="29">
        <f>TIME(Tabelle1[[#This Row],[時2]],Tabelle1[[#This Row],[分3]],)</f>
        <v>0</v>
      </c>
      <c r="S78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78" s="29" t="b">
        <f>(Tabelle1[[#This Row],[1日の労働時間]]&gt;基本情報!$D$12)</f>
        <v>0</v>
      </c>
    </row>
    <row r="79" spans="1:20" x14ac:dyDescent="0.15">
      <c r="A79" s="19" t="str">
        <f>IF(Tabelle1[[#This Row],[日付]]=0,"",
IF(WEEKDAY(B79)=1,"日",
IF(WEEKDAY(B79)=2,"月",
IF(WEEKDAY(B79)=3,"火",
IF(WEEKDAY(B79)=4,"水",
IF(WEEKDAY(B79)=5,"木",
IF(WEEKDAY(B79)=6,"金",
IF(WEEKDAY(B79)=7,"土"))))))))</f>
        <v/>
      </c>
      <c r="B79" s="32"/>
      <c r="C79" s="20"/>
      <c r="D79" s="21"/>
      <c r="E79" s="20"/>
      <c r="F79" s="21"/>
      <c r="G79" s="22">
        <f t="shared" si="8"/>
        <v>0</v>
      </c>
      <c r="H79" s="23">
        <f>SUMIF(Tabelle1[日付],Tabelle1[[#This Row],[日付]],Tabelle1[労働時間])</f>
        <v>0</v>
      </c>
      <c r="I79" s="23" cm="1">
        <f t="array" ref="I79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79" s="24"/>
      <c r="K79" s="30"/>
      <c r="L79" s="31"/>
      <c r="M79" s="27" t="str">
        <f>IF(J79&lt;&gt;0,VLOOKUP(J79,基本情報!$B$19:$E$26,3,),"")</f>
        <v/>
      </c>
      <c r="N79" s="88" t="str">
        <f>IF(AND(J79&lt;&gt;Tabelle1[[#This Row],[請求有無]],M79="有"),VLOOKUP(J79,基本情報!$B$19:$E$26,4,),"")</f>
        <v/>
      </c>
      <c r="O79" s="89" t="str">
        <f t="shared" si="9"/>
        <v/>
      </c>
      <c r="P79" s="28">
        <f t="shared" si="10"/>
        <v>1</v>
      </c>
      <c r="Q79" s="29">
        <f>TIME(Tabelle1[[#This Row],[時]],Tabelle1[[#This Row],[分]],)</f>
        <v>0</v>
      </c>
      <c r="R79" s="29">
        <f>TIME(Tabelle1[[#This Row],[時2]],Tabelle1[[#This Row],[分3]],)</f>
        <v>0</v>
      </c>
      <c r="S79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79" s="29" t="b">
        <f>(Tabelle1[[#This Row],[1日の労働時間]]&gt;基本情報!$D$12)</f>
        <v>0</v>
      </c>
    </row>
    <row r="80" spans="1:20" x14ac:dyDescent="0.15">
      <c r="A80" s="19" t="str">
        <f>IF(Tabelle1[[#This Row],[日付]]=0,"",
IF(WEEKDAY(B80)=1,"日",
IF(WEEKDAY(B80)=2,"月",
IF(WEEKDAY(B80)=3,"火",
IF(WEEKDAY(B80)=4,"水",
IF(WEEKDAY(B80)=5,"木",
IF(WEEKDAY(B80)=6,"金",
IF(WEEKDAY(B80)=7,"土"))))))))</f>
        <v/>
      </c>
      <c r="B80" s="32"/>
      <c r="C80" s="20"/>
      <c r="D80" s="21"/>
      <c r="E80" s="20"/>
      <c r="F80" s="21"/>
      <c r="G80" s="22">
        <f t="shared" si="8"/>
        <v>0</v>
      </c>
      <c r="H80" s="23">
        <f>SUMIF(Tabelle1[日付],Tabelle1[[#This Row],[日付]],Tabelle1[労働時間])</f>
        <v>0</v>
      </c>
      <c r="I80" s="23" cm="1">
        <f t="array" ref="I80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80" s="24"/>
      <c r="K80" s="30"/>
      <c r="L80" s="31"/>
      <c r="M80" s="27" t="str">
        <f>IF(J80&lt;&gt;0,VLOOKUP(J80,基本情報!$B$19:$E$26,3,),"")</f>
        <v/>
      </c>
      <c r="N80" s="88" t="str">
        <f>IF(AND(J80&lt;&gt;Tabelle1[[#This Row],[請求有無]],M80="有"),VLOOKUP(J80,基本情報!$B$19:$E$26,4,),"")</f>
        <v/>
      </c>
      <c r="O80" s="89" t="str">
        <f t="shared" si="9"/>
        <v/>
      </c>
      <c r="P80" s="28">
        <f t="shared" si="10"/>
        <v>1</v>
      </c>
      <c r="Q80" s="29">
        <f>TIME(Tabelle1[[#This Row],[時]],Tabelle1[[#This Row],[分]],)</f>
        <v>0</v>
      </c>
      <c r="R80" s="29">
        <f>TIME(Tabelle1[[#This Row],[時2]],Tabelle1[[#This Row],[分3]],)</f>
        <v>0</v>
      </c>
      <c r="S80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80" s="29" t="b">
        <f>(Tabelle1[[#This Row],[1日の労働時間]]&gt;基本情報!$D$12)</f>
        <v>0</v>
      </c>
    </row>
    <row r="81" spans="1:20" x14ac:dyDescent="0.15">
      <c r="A81" s="19" t="str">
        <f>IF(Tabelle1[[#This Row],[日付]]=0,"",
IF(WEEKDAY(B81)=1,"日",
IF(WEEKDAY(B81)=2,"月",
IF(WEEKDAY(B81)=3,"火",
IF(WEEKDAY(B81)=4,"水",
IF(WEEKDAY(B81)=5,"木",
IF(WEEKDAY(B81)=6,"金",
IF(WEEKDAY(B81)=7,"土"))))))))</f>
        <v/>
      </c>
      <c r="B81" s="32"/>
      <c r="C81" s="20"/>
      <c r="D81" s="21"/>
      <c r="E81" s="20"/>
      <c r="F81" s="21"/>
      <c r="G81" s="22">
        <f t="shared" si="8"/>
        <v>0</v>
      </c>
      <c r="H81" s="23">
        <f>SUMIF(Tabelle1[日付],Tabelle1[[#This Row],[日付]],Tabelle1[労働時間])</f>
        <v>0</v>
      </c>
      <c r="I81" s="23" cm="1">
        <f t="array" ref="I81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81" s="24"/>
      <c r="K81" s="30"/>
      <c r="L81" s="31"/>
      <c r="M81" s="27" t="str">
        <f>IF(J81&lt;&gt;0,VLOOKUP(J81,基本情報!$B$19:$E$26,3,),"")</f>
        <v/>
      </c>
      <c r="N81" s="88" t="str">
        <f>IF(AND(J81&lt;&gt;Tabelle1[[#This Row],[請求有無]],M81="有"),VLOOKUP(J81,基本情報!$B$19:$E$26,4,),"")</f>
        <v/>
      </c>
      <c r="O81" s="89" t="str">
        <f t="shared" si="9"/>
        <v/>
      </c>
      <c r="P81" s="28">
        <f t="shared" si="10"/>
        <v>1</v>
      </c>
      <c r="Q81" s="29">
        <f>TIME(Tabelle1[[#This Row],[時]],Tabelle1[[#This Row],[分]],)</f>
        <v>0</v>
      </c>
      <c r="R81" s="29">
        <f>TIME(Tabelle1[[#This Row],[時2]],Tabelle1[[#This Row],[分3]],)</f>
        <v>0</v>
      </c>
      <c r="S81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81" s="29" t="b">
        <f>(Tabelle1[[#This Row],[1日の労働時間]]&gt;基本情報!$D$12)</f>
        <v>0</v>
      </c>
    </row>
    <row r="82" spans="1:20" x14ac:dyDescent="0.15">
      <c r="A82" s="19" t="str">
        <f>IF(Tabelle1[[#This Row],[日付]]=0,"",
IF(WEEKDAY(B82)=1,"日",
IF(WEEKDAY(B82)=2,"月",
IF(WEEKDAY(B82)=3,"火",
IF(WEEKDAY(B82)=4,"水",
IF(WEEKDAY(B82)=5,"木",
IF(WEEKDAY(B82)=6,"金",
IF(WEEKDAY(B82)=7,"土"))))))))</f>
        <v/>
      </c>
      <c r="B82" s="32"/>
      <c r="C82" s="20"/>
      <c r="D82" s="21"/>
      <c r="E82" s="20"/>
      <c r="F82" s="21"/>
      <c r="G82" s="22">
        <f t="shared" si="8"/>
        <v>0</v>
      </c>
      <c r="H82" s="23">
        <f>SUMIF(Tabelle1[日付],Tabelle1[[#This Row],[日付]],Tabelle1[労働時間])</f>
        <v>0</v>
      </c>
      <c r="I82" s="23" cm="1">
        <f t="array" ref="I82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82" s="24"/>
      <c r="K82" s="30"/>
      <c r="L82" s="31"/>
      <c r="M82" s="27" t="str">
        <f>IF(J82&lt;&gt;0,VLOOKUP(J82,基本情報!$B$19:$E$26,3,),"")</f>
        <v/>
      </c>
      <c r="N82" s="88" t="str">
        <f>IF(AND(J82&lt;&gt;Tabelle1[[#This Row],[請求有無]],M82="有"),VLOOKUP(J82,基本情報!$B$19:$E$26,4,),"")</f>
        <v/>
      </c>
      <c r="O82" s="89" t="str">
        <f t="shared" si="9"/>
        <v/>
      </c>
      <c r="P82" s="28">
        <f t="shared" si="10"/>
        <v>1</v>
      </c>
      <c r="Q82" s="29">
        <f>TIME(Tabelle1[[#This Row],[時]],Tabelle1[[#This Row],[分]],)</f>
        <v>0</v>
      </c>
      <c r="R82" s="29">
        <f>TIME(Tabelle1[[#This Row],[時2]],Tabelle1[[#This Row],[分3]],)</f>
        <v>0</v>
      </c>
      <c r="S82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82" s="29" t="b">
        <f>(Tabelle1[[#This Row],[1日の労働時間]]&gt;基本情報!$D$12)</f>
        <v>0</v>
      </c>
    </row>
    <row r="83" spans="1:20" x14ac:dyDescent="0.15">
      <c r="A83" s="19" t="str">
        <f>IF(Tabelle1[[#This Row],[日付]]=0,"",
IF(WEEKDAY(B83)=1,"日",
IF(WEEKDAY(B83)=2,"月",
IF(WEEKDAY(B83)=3,"火",
IF(WEEKDAY(B83)=4,"水",
IF(WEEKDAY(B83)=5,"木",
IF(WEEKDAY(B83)=6,"金",
IF(WEEKDAY(B83)=7,"土"))))))))</f>
        <v/>
      </c>
      <c r="B83" s="32"/>
      <c r="C83" s="20"/>
      <c r="D83" s="21"/>
      <c r="E83" s="20"/>
      <c r="F83" s="21"/>
      <c r="G83" s="22">
        <f t="shared" si="8"/>
        <v>0</v>
      </c>
      <c r="H83" s="23">
        <f>SUMIF(Tabelle1[日付],Tabelle1[[#This Row],[日付]],Tabelle1[労働時間])</f>
        <v>0</v>
      </c>
      <c r="I83" s="23" cm="1">
        <f t="array" ref="I83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83" s="24"/>
      <c r="K83" s="30"/>
      <c r="L83" s="31"/>
      <c r="M83" s="27" t="str">
        <f>IF(J83&lt;&gt;0,VLOOKUP(J83,基本情報!$B$19:$E$26,3,),"")</f>
        <v/>
      </c>
      <c r="N83" s="88" t="str">
        <f>IF(AND(J83&lt;&gt;Tabelle1[[#This Row],[請求有無]],M83="有"),VLOOKUP(J83,基本情報!$B$19:$E$26,4,),"")</f>
        <v/>
      </c>
      <c r="O83" s="89" t="str">
        <f t="shared" si="9"/>
        <v/>
      </c>
      <c r="P83" s="28">
        <f t="shared" si="10"/>
        <v>1</v>
      </c>
      <c r="Q83" s="29">
        <f>TIME(Tabelle1[[#This Row],[時]],Tabelle1[[#This Row],[分]],)</f>
        <v>0</v>
      </c>
      <c r="R83" s="29">
        <f>TIME(Tabelle1[[#This Row],[時2]],Tabelle1[[#This Row],[分3]],)</f>
        <v>0</v>
      </c>
      <c r="S83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83" s="29" t="b">
        <f>(Tabelle1[[#This Row],[1日の労働時間]]&gt;基本情報!$D$12)</f>
        <v>0</v>
      </c>
    </row>
    <row r="84" spans="1:20" x14ac:dyDescent="0.15">
      <c r="A84" s="19" t="str">
        <f>IF(Tabelle1[[#This Row],[日付]]=0,"",
IF(WEEKDAY(B84)=1,"日",
IF(WEEKDAY(B84)=2,"月",
IF(WEEKDAY(B84)=3,"火",
IF(WEEKDAY(B84)=4,"水",
IF(WEEKDAY(B84)=5,"木",
IF(WEEKDAY(B84)=6,"金",
IF(WEEKDAY(B84)=7,"土"))))))))</f>
        <v/>
      </c>
      <c r="B84" s="32"/>
      <c r="C84" s="20"/>
      <c r="D84" s="21"/>
      <c r="E84" s="20"/>
      <c r="F84" s="21"/>
      <c r="G84" s="22">
        <f t="shared" si="8"/>
        <v>0</v>
      </c>
      <c r="H84" s="23">
        <f>SUMIF(Tabelle1[日付],Tabelle1[[#This Row],[日付]],Tabelle1[労働時間])</f>
        <v>0</v>
      </c>
      <c r="I84" s="23" cm="1">
        <f t="array" ref="I84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84" s="24"/>
      <c r="K84" s="30"/>
      <c r="L84" s="31"/>
      <c r="M84" s="27" t="str">
        <f>IF(J84&lt;&gt;0,VLOOKUP(J84,基本情報!$B$19:$E$26,3,),"")</f>
        <v/>
      </c>
      <c r="N84" s="88" t="str">
        <f>IF(AND(J84&lt;&gt;Tabelle1[[#This Row],[請求有無]],M84="有"),VLOOKUP(J84,基本情報!$B$19:$E$26,4,),"")</f>
        <v/>
      </c>
      <c r="O84" s="89" t="str">
        <f t="shared" si="9"/>
        <v/>
      </c>
      <c r="P84" s="28">
        <f t="shared" si="10"/>
        <v>1</v>
      </c>
      <c r="Q84" s="29">
        <f>TIME(Tabelle1[[#This Row],[時]],Tabelle1[[#This Row],[分]],)</f>
        <v>0</v>
      </c>
      <c r="R84" s="29">
        <f>TIME(Tabelle1[[#This Row],[時2]],Tabelle1[[#This Row],[分3]],)</f>
        <v>0</v>
      </c>
      <c r="S84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84" s="29" t="b">
        <f>(Tabelle1[[#This Row],[1日の労働時間]]&gt;基本情報!$D$12)</f>
        <v>0</v>
      </c>
    </row>
    <row r="85" spans="1:20" x14ac:dyDescent="0.15">
      <c r="A85" s="19" t="str">
        <f>IF(Tabelle1[[#This Row],[日付]]=0,"",
IF(WEEKDAY(B85)=1,"日",
IF(WEEKDAY(B85)=2,"月",
IF(WEEKDAY(B85)=3,"火",
IF(WEEKDAY(B85)=4,"水",
IF(WEEKDAY(B85)=5,"木",
IF(WEEKDAY(B85)=6,"金",
IF(WEEKDAY(B85)=7,"土"))))))))</f>
        <v/>
      </c>
      <c r="B85" s="32"/>
      <c r="C85" s="20"/>
      <c r="D85" s="21"/>
      <c r="E85" s="20"/>
      <c r="F85" s="21"/>
      <c r="G85" s="22">
        <f t="shared" si="8"/>
        <v>0</v>
      </c>
      <c r="H85" s="23">
        <f>SUMIF(Tabelle1[日付],Tabelle1[[#This Row],[日付]],Tabelle1[労働時間])</f>
        <v>0</v>
      </c>
      <c r="I85" s="23" cm="1">
        <f t="array" ref="I85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85" s="24"/>
      <c r="K85" s="30"/>
      <c r="L85" s="31"/>
      <c r="M85" s="27" t="str">
        <f>IF(J85&lt;&gt;0,VLOOKUP(J85,基本情報!$B$19:$E$26,3,),"")</f>
        <v/>
      </c>
      <c r="N85" s="88" t="str">
        <f>IF(AND(J85&lt;&gt;Tabelle1[[#This Row],[請求有無]],M85="有"),VLOOKUP(J85,基本情報!$B$19:$E$26,4,),"")</f>
        <v/>
      </c>
      <c r="O85" s="89" t="str">
        <f t="shared" si="9"/>
        <v/>
      </c>
      <c r="P85" s="28">
        <f t="shared" si="10"/>
        <v>1</v>
      </c>
      <c r="Q85" s="29">
        <f>TIME(Tabelle1[[#This Row],[時]],Tabelle1[[#This Row],[分]],)</f>
        <v>0</v>
      </c>
      <c r="R85" s="29">
        <f>TIME(Tabelle1[[#This Row],[時2]],Tabelle1[[#This Row],[分3]],)</f>
        <v>0</v>
      </c>
      <c r="S85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85" s="29" t="b">
        <f>(Tabelle1[[#This Row],[1日の労働時間]]&gt;基本情報!$D$12)</f>
        <v>0</v>
      </c>
    </row>
    <row r="86" spans="1:20" x14ac:dyDescent="0.15">
      <c r="A86" s="19" t="str">
        <f>IF(Tabelle1[[#This Row],[日付]]=0,"",
IF(WEEKDAY(B86)=1,"日",
IF(WEEKDAY(B86)=2,"月",
IF(WEEKDAY(B86)=3,"火",
IF(WEEKDAY(B86)=4,"水",
IF(WEEKDAY(B86)=5,"木",
IF(WEEKDAY(B86)=6,"金",
IF(WEEKDAY(B86)=7,"土"))))))))</f>
        <v/>
      </c>
      <c r="B86" s="32"/>
      <c r="C86" s="20"/>
      <c r="D86" s="21"/>
      <c r="E86" s="20"/>
      <c r="F86" s="21"/>
      <c r="G86" s="22">
        <f t="shared" si="8"/>
        <v>0</v>
      </c>
      <c r="H86" s="23">
        <f>SUMIF(Tabelle1[日付],Tabelle1[[#This Row],[日付]],Tabelle1[労働時間])</f>
        <v>0</v>
      </c>
      <c r="I86" s="23" cm="1">
        <f t="array" ref="I86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86" s="24"/>
      <c r="K86" s="30"/>
      <c r="L86" s="31"/>
      <c r="M86" s="27" t="str">
        <f>IF(J86&lt;&gt;0,VLOOKUP(J86,基本情報!$B$19:$E$26,3,),"")</f>
        <v/>
      </c>
      <c r="N86" s="88" t="str">
        <f>IF(AND(J86&lt;&gt;Tabelle1[[#This Row],[請求有無]],M86="有"),VLOOKUP(J86,基本情報!$B$19:$E$26,4,),"")</f>
        <v/>
      </c>
      <c r="O86" s="89" t="str">
        <f t="shared" si="9"/>
        <v/>
      </c>
      <c r="P86" s="28">
        <f t="shared" si="10"/>
        <v>1</v>
      </c>
      <c r="Q86" s="29">
        <f>TIME(Tabelle1[[#This Row],[時]],Tabelle1[[#This Row],[分]],)</f>
        <v>0</v>
      </c>
      <c r="R86" s="29">
        <f>TIME(Tabelle1[[#This Row],[時2]],Tabelle1[[#This Row],[分3]],)</f>
        <v>0</v>
      </c>
      <c r="S86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86" s="29" t="b">
        <f>(Tabelle1[[#This Row],[1日の労働時間]]&gt;基本情報!$D$12)</f>
        <v>0</v>
      </c>
    </row>
    <row r="87" spans="1:20" x14ac:dyDescent="0.15">
      <c r="A87" s="19" t="str">
        <f>IF(Tabelle1[[#This Row],[日付]]=0,"",
IF(WEEKDAY(B87)=1,"日",
IF(WEEKDAY(B87)=2,"月",
IF(WEEKDAY(B87)=3,"火",
IF(WEEKDAY(B87)=4,"水",
IF(WEEKDAY(B87)=5,"木",
IF(WEEKDAY(B87)=6,"金",
IF(WEEKDAY(B87)=7,"土"))))))))</f>
        <v/>
      </c>
      <c r="B87" s="32"/>
      <c r="C87" s="20"/>
      <c r="D87" s="21"/>
      <c r="E87" s="20"/>
      <c r="F87" s="21"/>
      <c r="G87" s="22">
        <f t="shared" si="4"/>
        <v>0</v>
      </c>
      <c r="H87" s="23">
        <f>SUMIF(Tabelle1[日付],Tabelle1[[#This Row],[日付]],Tabelle1[労働時間])</f>
        <v>0</v>
      </c>
      <c r="I87" s="23" cm="1">
        <f t="array" ref="I87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87" s="24"/>
      <c r="K87" s="30"/>
      <c r="L87" s="31"/>
      <c r="M87" s="27" t="str">
        <f>IF(J87&lt;&gt;0,VLOOKUP(J87,基本情報!$B$19:$E$26,3,),"")</f>
        <v/>
      </c>
      <c r="N87" s="88" t="str">
        <f>IF(AND(J87&lt;&gt;Tabelle1[[#This Row],[請求有無]],M87="有"),VLOOKUP(J87,基本情報!$B$19:$E$26,4,),"")</f>
        <v/>
      </c>
      <c r="O87" s="89" t="str">
        <f t="shared" si="9"/>
        <v/>
      </c>
      <c r="P87" s="28">
        <f t="shared" si="10"/>
        <v>1</v>
      </c>
      <c r="Q87" s="29">
        <f>TIME(Tabelle1[[#This Row],[時]],Tabelle1[[#This Row],[分]],)</f>
        <v>0</v>
      </c>
      <c r="R87" s="29">
        <f>TIME(Tabelle1[[#This Row],[時2]],Tabelle1[[#This Row],[分3]],)</f>
        <v>0</v>
      </c>
      <c r="S87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87" s="29" t="b">
        <f>(Tabelle1[[#This Row],[1日の労働時間]]&gt;基本情報!$D$12)</f>
        <v>0</v>
      </c>
    </row>
    <row r="88" spans="1:20" x14ac:dyDescent="0.15">
      <c r="A88" s="19" t="str">
        <f>IF(Tabelle1[[#This Row],[日付]]=0,"",
IF(WEEKDAY(B88)=1,"日",
IF(WEEKDAY(B88)=2,"月",
IF(WEEKDAY(B88)=3,"火",
IF(WEEKDAY(B88)=4,"水",
IF(WEEKDAY(B88)=5,"木",
IF(WEEKDAY(B88)=6,"金",
IF(WEEKDAY(B88)=7,"土"))))))))</f>
        <v/>
      </c>
      <c r="B88" s="32"/>
      <c r="C88" s="20"/>
      <c r="D88" s="21"/>
      <c r="E88" s="20"/>
      <c r="F88" s="21"/>
      <c r="G88" s="22">
        <f t="shared" si="4"/>
        <v>0</v>
      </c>
      <c r="H88" s="23">
        <f>SUMIF(Tabelle1[日付],Tabelle1[[#This Row],[日付]],Tabelle1[労働時間])</f>
        <v>0</v>
      </c>
      <c r="I88" s="23" cm="1">
        <f t="array" ref="I88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88" s="24"/>
      <c r="K88" s="30"/>
      <c r="L88" s="31"/>
      <c r="M88" s="27" t="str">
        <f>IF(J88&lt;&gt;0,VLOOKUP(J88,基本情報!$B$19:$E$26,3,),"")</f>
        <v/>
      </c>
      <c r="N88" s="88" t="str">
        <f>IF(AND(J88&lt;&gt;Tabelle1[[#This Row],[請求有無]],M88="有"),VLOOKUP(J88,基本情報!$B$19:$E$26,4,),"")</f>
        <v/>
      </c>
      <c r="O88" s="89" t="str">
        <f t="shared" si="9"/>
        <v/>
      </c>
      <c r="P88" s="28">
        <f t="shared" si="10"/>
        <v>1</v>
      </c>
      <c r="Q88" s="29">
        <f>TIME(Tabelle1[[#This Row],[時]],Tabelle1[[#This Row],[分]],)</f>
        <v>0</v>
      </c>
      <c r="R88" s="29">
        <f>TIME(Tabelle1[[#This Row],[時2]],Tabelle1[[#This Row],[分3]],)</f>
        <v>0</v>
      </c>
      <c r="S88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88" s="29" t="b">
        <f>(Tabelle1[[#This Row],[1日の労働時間]]&gt;基本情報!$D$12)</f>
        <v>0</v>
      </c>
    </row>
    <row r="89" spans="1:20" x14ac:dyDescent="0.15">
      <c r="A89" s="19" t="str">
        <f>IF(Tabelle1[[#This Row],[日付]]=0,"",
IF(WEEKDAY(B89)=1,"日",
IF(WEEKDAY(B89)=2,"月",
IF(WEEKDAY(B89)=3,"火",
IF(WEEKDAY(B89)=4,"水",
IF(WEEKDAY(B89)=5,"木",
IF(WEEKDAY(B89)=6,"金",
IF(WEEKDAY(B89)=7,"土"))))))))</f>
        <v/>
      </c>
      <c r="B89" s="32"/>
      <c r="C89" s="20"/>
      <c r="D89" s="21"/>
      <c r="E89" s="20"/>
      <c r="F89" s="21"/>
      <c r="G89" s="22">
        <f t="shared" si="4"/>
        <v>0</v>
      </c>
      <c r="H89" s="23">
        <f>SUMIF(Tabelle1[日付],Tabelle1[[#This Row],[日付]],Tabelle1[労働時間])</f>
        <v>0</v>
      </c>
      <c r="I89" s="23" cm="1">
        <f t="array" ref="I89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89" s="24"/>
      <c r="K89" s="30"/>
      <c r="L89" s="31"/>
      <c r="M89" s="27" t="str">
        <f>IF(J89&lt;&gt;0,VLOOKUP(J89,基本情報!$B$19:$E$26,3,),"")</f>
        <v/>
      </c>
      <c r="N89" s="88" t="str">
        <f>IF(AND(J89&lt;&gt;Tabelle1[[#This Row],[請求有無]],M89="有"),VLOOKUP(J89,基本情報!$B$19:$E$26,4,),"")</f>
        <v/>
      </c>
      <c r="O89" s="89" t="str">
        <f t="shared" si="9"/>
        <v/>
      </c>
      <c r="P89" s="28">
        <f t="shared" si="10"/>
        <v>1</v>
      </c>
      <c r="Q89" s="29">
        <f>TIME(Tabelle1[[#This Row],[時]],Tabelle1[[#This Row],[分]],)</f>
        <v>0</v>
      </c>
      <c r="R89" s="29">
        <f>TIME(Tabelle1[[#This Row],[時2]],Tabelle1[[#This Row],[分3]],)</f>
        <v>0</v>
      </c>
      <c r="S89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89" s="29" t="b">
        <f>(Tabelle1[[#This Row],[1日の労働時間]]&gt;基本情報!$D$12)</f>
        <v>0</v>
      </c>
    </row>
    <row r="90" spans="1:20" x14ac:dyDescent="0.15">
      <c r="A90" s="19" t="str">
        <f>IF(Tabelle1[[#This Row],[日付]]=0,"",
IF(WEEKDAY(B90)=1,"日",
IF(WEEKDAY(B90)=2,"月",
IF(WEEKDAY(B90)=3,"火",
IF(WEEKDAY(B90)=4,"水",
IF(WEEKDAY(B90)=5,"木",
IF(WEEKDAY(B90)=6,"金",
IF(WEEKDAY(B90)=7,"土"))))))))</f>
        <v/>
      </c>
      <c r="B90" s="32"/>
      <c r="C90" s="20"/>
      <c r="D90" s="21"/>
      <c r="E90" s="20"/>
      <c r="F90" s="21"/>
      <c r="G90" s="22">
        <f t="shared" si="4"/>
        <v>0</v>
      </c>
      <c r="H90" s="23">
        <f>SUMIF(Tabelle1[日付],Tabelle1[[#This Row],[日付]],Tabelle1[労働時間])</f>
        <v>0</v>
      </c>
      <c r="I90" s="23" cm="1">
        <f t="array" ref="I90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90" s="24"/>
      <c r="K90" s="30"/>
      <c r="L90" s="31"/>
      <c r="M90" s="27" t="str">
        <f>IF(J90&lt;&gt;0,VLOOKUP(J90,基本情報!$B$19:$E$26,3,),"")</f>
        <v/>
      </c>
      <c r="N90" s="88" t="str">
        <f>IF(AND(J90&lt;&gt;Tabelle1[[#This Row],[請求有無]],M90="有"),VLOOKUP(J90,基本情報!$B$19:$E$26,4,),"")</f>
        <v/>
      </c>
      <c r="O90" s="89" t="str">
        <f t="shared" si="9"/>
        <v/>
      </c>
      <c r="P90" s="28">
        <f t="shared" si="10"/>
        <v>1</v>
      </c>
      <c r="Q90" s="29">
        <f>TIME(Tabelle1[[#This Row],[時]],Tabelle1[[#This Row],[分]],)</f>
        <v>0</v>
      </c>
      <c r="R90" s="29">
        <f>TIME(Tabelle1[[#This Row],[時2]],Tabelle1[[#This Row],[分3]],)</f>
        <v>0</v>
      </c>
      <c r="S90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90" s="29" t="b">
        <f>(Tabelle1[[#This Row],[1日の労働時間]]&gt;基本情報!$D$12)</f>
        <v>0</v>
      </c>
    </row>
    <row r="91" spans="1:20" x14ac:dyDescent="0.15">
      <c r="A91" s="19" t="str">
        <f>IF(Tabelle1[[#This Row],[日付]]=0,"",
IF(WEEKDAY(B91)=1,"日",
IF(WEEKDAY(B91)=2,"月",
IF(WEEKDAY(B91)=3,"火",
IF(WEEKDAY(B91)=4,"水",
IF(WEEKDAY(B91)=5,"木",
IF(WEEKDAY(B91)=6,"金",
IF(WEEKDAY(B91)=7,"土"))))))))</f>
        <v/>
      </c>
      <c r="B91" s="32"/>
      <c r="C91" s="20"/>
      <c r="D91" s="21"/>
      <c r="E91" s="20"/>
      <c r="F91" s="21"/>
      <c r="G91" s="22">
        <f t="shared" ref="G91:G94" si="11">ROUND((E91*60+F91-C91*60-D91)/60,2)</f>
        <v>0</v>
      </c>
      <c r="H91" s="23">
        <f>SUMIF(Tabelle1[日付],Tabelle1[[#This Row],[日付]],Tabelle1[労働時間])</f>
        <v>0</v>
      </c>
      <c r="I91" s="23" cm="1">
        <f t="array" ref="I91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91" s="24"/>
      <c r="K91" s="30"/>
      <c r="L91" s="31"/>
      <c r="M91" s="27" t="str">
        <f>IF(J91&lt;&gt;0,VLOOKUP(J91,基本情報!$B$19:$E$26,3,),"")</f>
        <v/>
      </c>
      <c r="N91" s="88" t="str">
        <f>IF(AND(J91&lt;&gt;Tabelle1[[#This Row],[請求有無]],M91="有"),VLOOKUP(J91,基本情報!$B$19:$E$26,4,),"")</f>
        <v/>
      </c>
      <c r="O91" s="89" t="str">
        <f t="shared" si="9"/>
        <v/>
      </c>
      <c r="P91" s="28">
        <f t="shared" si="10"/>
        <v>1</v>
      </c>
      <c r="Q91" s="29">
        <f>TIME(Tabelle1[[#This Row],[時]],Tabelle1[[#This Row],[分]],)</f>
        <v>0</v>
      </c>
      <c r="R91" s="29">
        <f>TIME(Tabelle1[[#This Row],[時2]],Tabelle1[[#This Row],[分3]],)</f>
        <v>0</v>
      </c>
      <c r="S91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91" s="29" t="b">
        <f>(Tabelle1[[#This Row],[1日の労働時間]]&gt;基本情報!$D$12)</f>
        <v>0</v>
      </c>
    </row>
    <row r="92" spans="1:20" x14ac:dyDescent="0.15">
      <c r="A92" s="19" t="str">
        <f>IF(Tabelle1[[#This Row],[日付]]=0,"",
IF(WEEKDAY(B92)=1,"日",
IF(WEEKDAY(B92)=2,"月",
IF(WEEKDAY(B92)=3,"火",
IF(WEEKDAY(B92)=4,"水",
IF(WEEKDAY(B92)=5,"木",
IF(WEEKDAY(B92)=6,"金",
IF(WEEKDAY(B92)=7,"土"))))))))</f>
        <v/>
      </c>
      <c r="B92" s="32"/>
      <c r="C92" s="20"/>
      <c r="D92" s="21"/>
      <c r="E92" s="20"/>
      <c r="F92" s="21"/>
      <c r="G92" s="22">
        <f t="shared" si="11"/>
        <v>0</v>
      </c>
      <c r="H92" s="23">
        <f>SUMIF(Tabelle1[日付],Tabelle1[[#This Row],[日付]],Tabelle1[労働時間])</f>
        <v>0</v>
      </c>
      <c r="I92" s="23" cm="1">
        <f t="array" ref="I92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92" s="24"/>
      <c r="K92" s="30"/>
      <c r="L92" s="31"/>
      <c r="M92" s="27" t="str">
        <f>IF(J92&lt;&gt;0,VLOOKUP(J92,基本情報!$B$19:$E$26,3,),"")</f>
        <v/>
      </c>
      <c r="N92" s="88" t="str">
        <f>IF(AND(J92&lt;&gt;Tabelle1[[#This Row],[請求有無]],M92="有"),VLOOKUP(J92,基本情報!$B$19:$E$26,4,),"")</f>
        <v/>
      </c>
      <c r="O92" s="89" t="str">
        <f t="shared" si="9"/>
        <v/>
      </c>
      <c r="P92" s="28">
        <f t="shared" si="10"/>
        <v>1</v>
      </c>
      <c r="Q92" s="29">
        <f>TIME(Tabelle1[[#This Row],[時]],Tabelle1[[#This Row],[分]],)</f>
        <v>0</v>
      </c>
      <c r="R92" s="29">
        <f>TIME(Tabelle1[[#This Row],[時2]],Tabelle1[[#This Row],[分3]],)</f>
        <v>0</v>
      </c>
      <c r="S92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92" s="29" t="b">
        <f>(Tabelle1[[#This Row],[1日の労働時間]]&gt;基本情報!$D$12)</f>
        <v>0</v>
      </c>
    </row>
    <row r="93" spans="1:20" x14ac:dyDescent="0.15">
      <c r="A93" s="19" t="str">
        <f>IF(Tabelle1[[#This Row],[日付]]=0,"",
IF(WEEKDAY(B93)=1,"日",
IF(WEEKDAY(B93)=2,"月",
IF(WEEKDAY(B93)=3,"火",
IF(WEEKDAY(B93)=4,"水",
IF(WEEKDAY(B93)=5,"木",
IF(WEEKDAY(B93)=6,"金",
IF(WEEKDAY(B93)=7,"土"))))))))</f>
        <v/>
      </c>
      <c r="B93" s="32"/>
      <c r="C93" s="20"/>
      <c r="D93" s="21"/>
      <c r="E93" s="20"/>
      <c r="F93" s="21"/>
      <c r="G93" s="22">
        <f t="shared" si="11"/>
        <v>0</v>
      </c>
      <c r="H93" s="23">
        <f>SUMIF(Tabelle1[日付],Tabelle1[[#This Row],[日付]],Tabelle1[労働時間])</f>
        <v>0</v>
      </c>
      <c r="I93" s="23" cm="1">
        <f t="array" ref="I93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93" s="24"/>
      <c r="K93" s="30"/>
      <c r="L93" s="31"/>
      <c r="M93" s="27" t="str">
        <f>IF(J93&lt;&gt;0,VLOOKUP(J93,基本情報!$B$19:$E$26,3,),"")</f>
        <v/>
      </c>
      <c r="N93" s="88" t="str">
        <f>IF(AND(J93&lt;&gt;Tabelle1[[#This Row],[請求有無]],M93="有"),VLOOKUP(J93,基本情報!$B$19:$E$26,4,),"")</f>
        <v/>
      </c>
      <c r="O93" s="89" t="str">
        <f t="shared" si="9"/>
        <v/>
      </c>
      <c r="P93" s="28">
        <f t="shared" si="10"/>
        <v>1</v>
      </c>
      <c r="Q93" s="29">
        <f>TIME(Tabelle1[[#This Row],[時]],Tabelle1[[#This Row],[分]],)</f>
        <v>0</v>
      </c>
      <c r="R93" s="29">
        <f>TIME(Tabelle1[[#This Row],[時2]],Tabelle1[[#This Row],[分3]],)</f>
        <v>0</v>
      </c>
      <c r="S93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93" s="29" t="b">
        <f>(Tabelle1[[#This Row],[1日の労働時間]]&gt;基本情報!$D$12)</f>
        <v>0</v>
      </c>
    </row>
    <row r="94" spans="1:20" x14ac:dyDescent="0.15">
      <c r="A94" s="19" t="str">
        <f>IF(Tabelle1[[#This Row],[日付]]=0,"",
IF(WEEKDAY(B94)=1,"日",
IF(WEEKDAY(B94)=2,"月",
IF(WEEKDAY(B94)=3,"火",
IF(WEEKDAY(B94)=4,"水",
IF(WEEKDAY(B94)=5,"木",
IF(WEEKDAY(B94)=6,"金",
IF(WEEKDAY(B94)=7,"土"))))))))</f>
        <v/>
      </c>
      <c r="B94" s="32"/>
      <c r="C94" s="20"/>
      <c r="D94" s="21"/>
      <c r="E94" s="20"/>
      <c r="F94" s="21"/>
      <c r="G94" s="22">
        <f t="shared" si="11"/>
        <v>0</v>
      </c>
      <c r="H94" s="23">
        <f>SUMIF(Tabelle1[日付],Tabelle1[[#This Row],[日付]],Tabelle1[労働時間])</f>
        <v>0</v>
      </c>
      <c r="I94" s="23" cm="1">
        <f t="array" ref="I94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94" s="24"/>
      <c r="K94" s="30"/>
      <c r="L94" s="31"/>
      <c r="M94" s="27" t="str">
        <f>IF(J94&lt;&gt;0,VLOOKUP(J94,基本情報!$B$19:$E$26,3,),"")</f>
        <v/>
      </c>
      <c r="N94" s="88" t="str">
        <f>IF(AND(J94&lt;&gt;Tabelle1[[#This Row],[請求有無]],M94="有"),VLOOKUP(J94,基本情報!$B$19:$E$26,4,),"")</f>
        <v/>
      </c>
      <c r="O94" s="89" t="str">
        <f t="shared" si="9"/>
        <v/>
      </c>
      <c r="P94" s="28">
        <f t="shared" si="10"/>
        <v>1</v>
      </c>
      <c r="Q94" s="29">
        <f>TIME(Tabelle1[[#This Row],[時]],Tabelle1[[#This Row],[分]],)</f>
        <v>0</v>
      </c>
      <c r="R94" s="29">
        <f>TIME(Tabelle1[[#This Row],[時2]],Tabelle1[[#This Row],[分3]],)</f>
        <v>0</v>
      </c>
      <c r="S94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94" s="29" t="b">
        <f>(Tabelle1[[#This Row],[1日の労働時間]]&gt;基本情報!$D$12)</f>
        <v>0</v>
      </c>
    </row>
    <row r="95" spans="1:20" x14ac:dyDescent="0.15">
      <c r="A95" s="19" t="str">
        <f>IF(Tabelle1[[#This Row],[日付]]=0,"",
IF(WEEKDAY(B95)=1,"日",
IF(WEEKDAY(B95)=2,"月",
IF(WEEKDAY(B95)=3,"火",
IF(WEEKDAY(B95)=4,"水",
IF(WEEKDAY(B95)=5,"木",
IF(WEEKDAY(B95)=6,"金",
IF(WEEKDAY(B95)=7,"土"))))))))</f>
        <v/>
      </c>
      <c r="B95" s="32"/>
      <c r="C95" s="20"/>
      <c r="D95" s="21"/>
      <c r="E95" s="20"/>
      <c r="F95" s="21"/>
      <c r="G95" s="22">
        <f t="shared" ref="G95:G98" si="12">ROUND((E95*60+F95-C95*60-D95)/60,2)</f>
        <v>0</v>
      </c>
      <c r="H95" s="23">
        <f>SUMIF(Tabelle1[日付],Tabelle1[[#This Row],[日付]],Tabelle1[労働時間])</f>
        <v>0</v>
      </c>
      <c r="I95" s="23" cm="1">
        <f t="array" ref="I95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95" s="24"/>
      <c r="K95" s="30"/>
      <c r="L95" s="31"/>
      <c r="M95" s="27" t="str">
        <f>IF(J95&lt;&gt;0,VLOOKUP(J95,基本情報!$B$19:$E$26,3,),"")</f>
        <v/>
      </c>
      <c r="N95" s="88" t="str">
        <f>IF(AND(J95&lt;&gt;Tabelle1[[#This Row],[請求有無]],M95="有"),VLOOKUP(J95,基本情報!$B$19:$E$26,4,),"")</f>
        <v/>
      </c>
      <c r="O95" s="89" t="str">
        <f t="shared" si="9"/>
        <v/>
      </c>
      <c r="P95" s="28">
        <f t="shared" ref="P95:P98" si="13">MONTH(B95)</f>
        <v>1</v>
      </c>
      <c r="Q95" s="29">
        <f>TIME(Tabelle1[[#This Row],[時]],Tabelle1[[#This Row],[分]],)</f>
        <v>0</v>
      </c>
      <c r="R95" s="29">
        <f>TIME(Tabelle1[[#This Row],[時2]],Tabelle1[[#This Row],[分3]],)</f>
        <v>0</v>
      </c>
      <c r="S95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95" s="29" t="b">
        <f>(Tabelle1[[#This Row],[1日の労働時間]]&gt;基本情報!$D$12)</f>
        <v>0</v>
      </c>
    </row>
    <row r="96" spans="1:20" x14ac:dyDescent="0.15">
      <c r="A96" s="19" t="str">
        <f>IF(Tabelle1[[#This Row],[日付]]=0,"",
IF(WEEKDAY(B96)=1,"日",
IF(WEEKDAY(B96)=2,"月",
IF(WEEKDAY(B96)=3,"火",
IF(WEEKDAY(B96)=4,"水",
IF(WEEKDAY(B96)=5,"木",
IF(WEEKDAY(B96)=6,"金",
IF(WEEKDAY(B96)=7,"土"))))))))</f>
        <v/>
      </c>
      <c r="B96" s="32"/>
      <c r="C96" s="20"/>
      <c r="D96" s="21"/>
      <c r="E96" s="20"/>
      <c r="F96" s="21"/>
      <c r="G96" s="22">
        <f t="shared" si="12"/>
        <v>0</v>
      </c>
      <c r="H96" s="23">
        <f>SUMIF(Tabelle1[日付],Tabelle1[[#This Row],[日付]],Tabelle1[労働時間])</f>
        <v>0</v>
      </c>
      <c r="I96" s="23" cm="1">
        <f t="array" ref="I96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96" s="24"/>
      <c r="K96" s="30"/>
      <c r="L96" s="31"/>
      <c r="M96" s="27" t="str">
        <f>IF(J96&lt;&gt;0,VLOOKUP(J96,基本情報!$B$19:$E$26,3,),"")</f>
        <v/>
      </c>
      <c r="N96" s="88" t="str">
        <f>IF(AND(J96&lt;&gt;Tabelle1[[#This Row],[請求有無]],M96="有"),VLOOKUP(J96,基本情報!$B$19:$E$26,4,),"")</f>
        <v/>
      </c>
      <c r="O96" s="89" t="str">
        <f t="shared" si="9"/>
        <v/>
      </c>
      <c r="P96" s="28">
        <f t="shared" si="13"/>
        <v>1</v>
      </c>
      <c r="Q96" s="29">
        <f>TIME(Tabelle1[[#This Row],[時]],Tabelle1[[#This Row],[分]],)</f>
        <v>0</v>
      </c>
      <c r="R96" s="29">
        <f>TIME(Tabelle1[[#This Row],[時2]],Tabelle1[[#This Row],[分3]],)</f>
        <v>0</v>
      </c>
      <c r="S96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96" s="29" t="b">
        <f>(Tabelle1[[#This Row],[1日の労働時間]]&gt;基本情報!$D$12)</f>
        <v>0</v>
      </c>
    </row>
    <row r="97" spans="1:20" x14ac:dyDescent="0.15">
      <c r="A97" s="19" t="str">
        <f>IF(Tabelle1[[#This Row],[日付]]=0,"",
IF(WEEKDAY(B97)=1,"日",
IF(WEEKDAY(B97)=2,"月",
IF(WEEKDAY(B97)=3,"火",
IF(WEEKDAY(B97)=4,"水",
IF(WEEKDAY(B97)=5,"木",
IF(WEEKDAY(B97)=6,"金",
IF(WEEKDAY(B97)=7,"土"))))))))</f>
        <v/>
      </c>
      <c r="B97" s="32"/>
      <c r="C97" s="20"/>
      <c r="D97" s="21"/>
      <c r="E97" s="20"/>
      <c r="F97" s="21"/>
      <c r="G97" s="22">
        <f t="shared" si="12"/>
        <v>0</v>
      </c>
      <c r="H97" s="23">
        <f>SUMIF(Tabelle1[日付],Tabelle1[[#This Row],[日付]],Tabelle1[労働時間])</f>
        <v>0</v>
      </c>
      <c r="I97" s="23" cm="1">
        <f t="array" ref="I97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97" s="24"/>
      <c r="K97" s="30"/>
      <c r="L97" s="31"/>
      <c r="M97" s="27" t="str">
        <f>IF(J97&lt;&gt;0,VLOOKUP(J97,基本情報!$B$19:$E$26,3,),"")</f>
        <v/>
      </c>
      <c r="N97" s="88" t="str">
        <f>IF(AND(J97&lt;&gt;Tabelle1[[#This Row],[請求有無]],M97="有"),VLOOKUP(J97,基本情報!$B$19:$E$26,4,),"")</f>
        <v/>
      </c>
      <c r="O97" s="89" t="str">
        <f t="shared" si="9"/>
        <v/>
      </c>
      <c r="P97" s="28">
        <f t="shared" si="13"/>
        <v>1</v>
      </c>
      <c r="Q97" s="29">
        <f>TIME(Tabelle1[[#This Row],[時]],Tabelle1[[#This Row],[分]],)</f>
        <v>0</v>
      </c>
      <c r="R97" s="29">
        <f>TIME(Tabelle1[[#This Row],[時2]],Tabelle1[[#This Row],[分3]],)</f>
        <v>0</v>
      </c>
      <c r="S97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97" s="29" t="b">
        <f>(Tabelle1[[#This Row],[1日の労働時間]]&gt;基本情報!$D$12)</f>
        <v>0</v>
      </c>
    </row>
    <row r="98" spans="1:20" x14ac:dyDescent="0.15">
      <c r="A98" s="19" t="str">
        <f>IF(Tabelle1[[#This Row],[日付]]=0,"",
IF(WEEKDAY(B98)=1,"日",
IF(WEEKDAY(B98)=2,"月",
IF(WEEKDAY(B98)=3,"火",
IF(WEEKDAY(B98)=4,"水",
IF(WEEKDAY(B98)=5,"木",
IF(WEEKDAY(B98)=6,"金",
IF(WEEKDAY(B98)=7,"土"))))))))</f>
        <v/>
      </c>
      <c r="B98" s="32"/>
      <c r="C98" s="20"/>
      <c r="D98" s="21"/>
      <c r="E98" s="20"/>
      <c r="F98" s="21"/>
      <c r="G98" s="22">
        <f t="shared" si="12"/>
        <v>0</v>
      </c>
      <c r="H98" s="23">
        <f>SUMIF(Tabelle1[日付],Tabelle1[[#This Row],[日付]],Tabelle1[労働時間])</f>
        <v>0</v>
      </c>
      <c r="I98" s="23" cm="1">
        <f t="array" ref="I98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98" s="24"/>
      <c r="K98" s="30"/>
      <c r="L98" s="31"/>
      <c r="M98" s="27" t="str">
        <f>IF(J98&lt;&gt;0,VLOOKUP(J98,基本情報!$B$19:$E$26,3,),"")</f>
        <v/>
      </c>
      <c r="N98" s="88" t="str">
        <f>IF(AND(J98&lt;&gt;Tabelle1[[#This Row],[請求有無]],M98="有"),VLOOKUP(J98,基本情報!$B$19:$E$26,4,),"")</f>
        <v/>
      </c>
      <c r="O98" s="89" t="str">
        <f t="shared" si="9"/>
        <v/>
      </c>
      <c r="P98" s="28">
        <f t="shared" si="13"/>
        <v>1</v>
      </c>
      <c r="Q98" s="29">
        <f>TIME(Tabelle1[[#This Row],[時]],Tabelle1[[#This Row],[分]],)</f>
        <v>0</v>
      </c>
      <c r="R98" s="29">
        <f>TIME(Tabelle1[[#This Row],[時2]],Tabelle1[[#This Row],[分3]],)</f>
        <v>0</v>
      </c>
      <c r="S98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98" s="29" t="b">
        <f>(Tabelle1[[#This Row],[1日の労働時間]]&gt;基本情報!$D$12)</f>
        <v>0</v>
      </c>
    </row>
    <row r="99" spans="1:20" x14ac:dyDescent="0.15">
      <c r="A99" s="19" t="str">
        <f>IF(Tabelle1[[#This Row],[日付]]=0,"",
IF(WEEKDAY(B99)=1,"日",
IF(WEEKDAY(B99)=2,"月",
IF(WEEKDAY(B99)=3,"火",
IF(WEEKDAY(B99)=4,"水",
IF(WEEKDAY(B99)=5,"木",
IF(WEEKDAY(B99)=6,"金",
IF(WEEKDAY(B99)=7,"土"))))))))</f>
        <v/>
      </c>
      <c r="B99" s="32"/>
      <c r="C99" s="20"/>
      <c r="D99" s="21"/>
      <c r="E99" s="20"/>
      <c r="F99" s="21"/>
      <c r="G99" s="22">
        <f t="shared" si="4"/>
        <v>0</v>
      </c>
      <c r="H99" s="23">
        <f>SUMIF(Tabelle1[日付],Tabelle1[[#This Row],[日付]],Tabelle1[労働時間])</f>
        <v>0</v>
      </c>
      <c r="I99" s="23" cm="1">
        <f t="array" ref="I99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99" s="24"/>
      <c r="K99" s="30"/>
      <c r="L99" s="31"/>
      <c r="M99" s="27" t="str">
        <f>IF(J99&lt;&gt;0,VLOOKUP(J99,基本情報!$B$19:$E$26,3,),"")</f>
        <v/>
      </c>
      <c r="N99" s="88" t="str">
        <f>IF(AND(J99&lt;&gt;Tabelle1[[#This Row],[請求有無]],M99="有"),VLOOKUP(J99,基本情報!$B$19:$E$26,4,),"")</f>
        <v/>
      </c>
      <c r="O99" s="89" t="str">
        <f t="shared" si="9"/>
        <v/>
      </c>
      <c r="P99" s="28">
        <f>MONTH(B99)</f>
        <v>1</v>
      </c>
      <c r="Q99" s="29">
        <f>TIME(Tabelle1[[#This Row],[時]],Tabelle1[[#This Row],[分]],)</f>
        <v>0</v>
      </c>
      <c r="R99" s="29">
        <f>TIME(Tabelle1[[#This Row],[時2]],Tabelle1[[#This Row],[分3]],)</f>
        <v>0</v>
      </c>
      <c r="S99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99" s="29" t="b">
        <f>(Tabelle1[[#This Row],[1日の労働時間]]&gt;基本情報!$D$12)</f>
        <v>0</v>
      </c>
    </row>
    <row r="100" spans="1:20" x14ac:dyDescent="0.15">
      <c r="A100" s="19" t="str">
        <f>IF(Tabelle1[[#This Row],[日付]]=0,"",
IF(WEEKDAY(B100)=1,"日",
IF(WEEKDAY(B100)=2,"月",
IF(WEEKDAY(B100)=3,"火",
IF(WEEKDAY(B100)=4,"水",
IF(WEEKDAY(B100)=5,"木",
IF(WEEKDAY(B100)=6,"金",
IF(WEEKDAY(B100)=7,"土"))))))))</f>
        <v/>
      </c>
      <c r="B100" s="32"/>
      <c r="C100" s="20"/>
      <c r="D100" s="21"/>
      <c r="E100" s="20"/>
      <c r="F100" s="21"/>
      <c r="G100" s="22">
        <f t="shared" si="4"/>
        <v>0</v>
      </c>
      <c r="H100" s="23">
        <f>SUMIF(Tabelle1[日付],Tabelle1[[#This Row],[日付]],Tabelle1[労働時間])</f>
        <v>0</v>
      </c>
      <c r="I100" s="23" cm="1">
        <f t="array" ref="I100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100" s="24"/>
      <c r="K100" s="30"/>
      <c r="L100" s="31"/>
      <c r="M100" s="27" t="str">
        <f>IF(J100&lt;&gt;0,VLOOKUP(J100,基本情報!$B$19:$E$26,3,),"")</f>
        <v/>
      </c>
      <c r="N100" s="88" t="str">
        <f>IF(AND(J100&lt;&gt;Tabelle1[[#This Row],[請求有無]],M100="有"),VLOOKUP(J100,基本情報!$B$19:$E$26,4,),"")</f>
        <v/>
      </c>
      <c r="O100" s="89" t="str">
        <f t="shared" si="9"/>
        <v/>
      </c>
      <c r="P100" s="28">
        <f>MONTH(B100)</f>
        <v>1</v>
      </c>
      <c r="Q100" s="29">
        <f>TIME(Tabelle1[[#This Row],[時]],Tabelle1[[#This Row],[分]],)</f>
        <v>0</v>
      </c>
      <c r="R100" s="29">
        <f>TIME(Tabelle1[[#This Row],[時2]],Tabelle1[[#This Row],[分3]],)</f>
        <v>0</v>
      </c>
      <c r="S100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100" s="29" t="b">
        <f>(Tabelle1[[#This Row],[1日の労働時間]]&gt;基本情報!$D$12)</f>
        <v>0</v>
      </c>
    </row>
    <row r="101" spans="1:20" x14ac:dyDescent="0.15">
      <c r="A101" s="19" t="str">
        <f>IF(Tabelle1[[#This Row],[日付]]=0,"",
IF(WEEKDAY(B101)=1,"日",
IF(WEEKDAY(B101)=2,"月",
IF(WEEKDAY(B101)=3,"火",
IF(WEEKDAY(B101)=4,"水",
IF(WEEKDAY(B101)=5,"木",
IF(WEEKDAY(B101)=6,"金",
IF(WEEKDAY(B101)=7,"土"))))))))</f>
        <v/>
      </c>
      <c r="B101" s="32"/>
      <c r="C101" s="20"/>
      <c r="D101" s="21"/>
      <c r="E101" s="20"/>
      <c r="F101" s="21"/>
      <c r="G101" s="22">
        <f t="shared" si="3"/>
        <v>0</v>
      </c>
      <c r="H101" s="23">
        <f>SUMIF(Tabelle1[日付],Tabelle1[[#This Row],[日付]],Tabelle1[労働時間])</f>
        <v>0</v>
      </c>
      <c r="I101" s="23" cm="1">
        <f t="array" ref="I101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101" s="24"/>
      <c r="K101" s="30"/>
      <c r="L101" s="31"/>
      <c r="M101" s="27" t="str">
        <f>IF(J101&lt;&gt;0,VLOOKUP(J101,基本情報!$B$19:$E$26,3,),"")</f>
        <v/>
      </c>
      <c r="N101" s="88" t="str">
        <f>IF(AND(J101&lt;&gt;Tabelle1[[#This Row],[請求有無]],M101="有"),VLOOKUP(J101,基本情報!$B$19:$E$26,4,),"")</f>
        <v/>
      </c>
      <c r="O101" s="89" t="str">
        <f t="shared" si="9"/>
        <v/>
      </c>
      <c r="P101" s="28">
        <f>MONTH(B101)</f>
        <v>1</v>
      </c>
      <c r="Q101" s="29">
        <f>TIME(Tabelle1[[#This Row],[時]],Tabelle1[[#This Row],[分]],)</f>
        <v>0</v>
      </c>
      <c r="R101" s="29">
        <f>TIME(Tabelle1[[#This Row],[時2]],Tabelle1[[#This Row],[分3]],)</f>
        <v>0</v>
      </c>
      <c r="S101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101" s="29" t="b">
        <f>(Tabelle1[[#This Row],[1日の労働時間]]&gt;基本情報!$D$12)</f>
        <v>0</v>
      </c>
    </row>
    <row r="102" spans="1:20" x14ac:dyDescent="0.15">
      <c r="A102" s="19" t="str">
        <f>IF(Tabelle1[[#This Row],[日付]]=0,"",
IF(WEEKDAY(B102)=1,"日",
IF(WEEKDAY(B102)=2,"月",
IF(WEEKDAY(B102)=3,"火",
IF(WEEKDAY(B102)=4,"水",
IF(WEEKDAY(B102)=5,"木",
IF(WEEKDAY(B102)=6,"金",
IF(WEEKDAY(B102)=7,"土"))))))))</f>
        <v/>
      </c>
      <c r="B102" s="32"/>
      <c r="C102" s="20"/>
      <c r="D102" s="21"/>
      <c r="E102" s="20"/>
      <c r="F102" s="21"/>
      <c r="G102" s="22">
        <f t="shared" si="3"/>
        <v>0</v>
      </c>
      <c r="H102" s="23">
        <f>SUMIF(Tabelle1[日付],Tabelle1[[#This Row],[日付]],Tabelle1[労働時間])</f>
        <v>0</v>
      </c>
      <c r="I102" s="23" cm="1">
        <f t="array" ref="I102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102" s="24"/>
      <c r="K102" s="30"/>
      <c r="L102" s="31"/>
      <c r="M102" s="27" t="str">
        <f>IF(J102&lt;&gt;0,VLOOKUP(J102,基本情報!$B$19:$E$26,3,),"")</f>
        <v/>
      </c>
      <c r="N102" s="88" t="str">
        <f>IF(AND(J102&lt;&gt;Tabelle1[[#This Row],[請求有無]],M102="有"),VLOOKUP(J102,基本情報!$B$19:$E$26,4,),"")</f>
        <v/>
      </c>
      <c r="O102" s="89" t="str">
        <f t="shared" si="9"/>
        <v/>
      </c>
      <c r="P102" s="28">
        <f>MONTH(B102)</f>
        <v>1</v>
      </c>
      <c r="Q102" s="29">
        <f>TIME(Tabelle1[[#This Row],[時]],Tabelle1[[#This Row],[分]],)</f>
        <v>0</v>
      </c>
      <c r="R102" s="29">
        <f>TIME(Tabelle1[[#This Row],[時2]],Tabelle1[[#This Row],[分3]],)</f>
        <v>0</v>
      </c>
      <c r="S102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102" s="29" t="b">
        <f>(Tabelle1[[#This Row],[1日の労働時間]]&gt;基本情報!$D$12)</f>
        <v>0</v>
      </c>
    </row>
    <row r="103" spans="1:20" ht="16" thickBot="1" x14ac:dyDescent="0.2">
      <c r="A103" s="19" t="str">
        <f>IF(Tabelle1[[#This Row],[日付]]=0,"",
IF(WEEKDAY(B103)=1,"日",
IF(WEEKDAY(B103)=2,"月",
IF(WEEKDAY(B103)=3,"火",
IF(WEEKDAY(B103)=4,"水",
IF(WEEKDAY(B103)=5,"木",
IF(WEEKDAY(B103)=6,"金",
IF(WEEKDAY(B103)=7,"土"))))))))</f>
        <v/>
      </c>
      <c r="B103" s="32"/>
      <c r="C103" s="33"/>
      <c r="D103" s="34"/>
      <c r="E103" s="33"/>
      <c r="F103" s="34"/>
      <c r="G103" s="22">
        <f t="shared" si="3"/>
        <v>0</v>
      </c>
      <c r="H103" s="23">
        <f>SUMIF(Tabelle1[日付],Tabelle1[[#This Row],[日付]],Tabelle1[労働時間])</f>
        <v>0</v>
      </c>
      <c r="I103" s="23" cm="1">
        <f t="array" ref="I103">24*(MAX(IF(EXACT(Tabelle1[日付],Tabelle1[[#This Row],[日付]]),Tabelle1[終了時間]))
-MIN(IF(EXACT(Tabelle1[日付],Tabelle1[[#This Row],[日付]]),Tabelle1[Start])))
-SUMIF(Tabelle1[日付],Tabelle1[[#This Row],[日付]],Tabelle1[労働時間])</f>
        <v>0</v>
      </c>
      <c r="J103" s="24"/>
      <c r="K103" s="30"/>
      <c r="L103" s="31"/>
      <c r="M103" s="27" t="str">
        <f>IF(J103&lt;&gt;0,VLOOKUP(J103,基本情報!$B$19:$E$26,3,),"")</f>
        <v/>
      </c>
      <c r="N103" s="88" t="str">
        <f>IF(AND(J103&lt;&gt;Tabelle1[[#This Row],[請求有無]],M103="有"),VLOOKUP(J103,基本情報!$B$19:$E$26,4,),"")</f>
        <v/>
      </c>
      <c r="O103" s="89" t="str">
        <f t="shared" si="9"/>
        <v/>
      </c>
      <c r="P103" s="28">
        <f>MONTH(B103)</f>
        <v>1</v>
      </c>
      <c r="Q103" s="29">
        <f>TIME(Tabelle1[[#This Row],[時]],Tabelle1[[#This Row],[分]],)</f>
        <v>0</v>
      </c>
      <c r="R103" s="29">
        <f>TIME(Tabelle1[[#This Row],[時2]],Tabelle1[[#This Row],[分3]],)</f>
        <v>0</v>
      </c>
      <c r="S103" s="29" t="b">
        <f>OR(AND(Tabelle1[[#This Row],[1日の労働時間]]&gt;8,Tabelle1[[#This Row],[1日の休憩時間]]&lt;基本情報!$D$14),AND(Tabelle1[[#This Row],[1日の労働時間]]&lt;=8,Tabelle1[[#This Row],[1日の労働時間]]&gt;6,Tabelle1[[#This Row],[1日の休憩時間]]&lt;基本情報!$D$13))</f>
        <v>0</v>
      </c>
      <c r="T103" s="29" t="b">
        <f>(Tabelle1[[#This Row],[1日の労働時間]]&gt;基本情報!$D$12)</f>
        <v>0</v>
      </c>
    </row>
    <row r="104" spans="1:20" x14ac:dyDescent="0.15">
      <c r="F104" s="35" t="s">
        <v>92</v>
      </c>
      <c r="G104" s="36">
        <f>SUM(G8:G103)</f>
        <v>75</v>
      </c>
      <c r="H104" s="36"/>
      <c r="I104" s="36"/>
      <c r="N104" s="35" t="s">
        <v>92</v>
      </c>
      <c r="O104" s="90">
        <f>SUM(O8:O103)</f>
        <v>328500</v>
      </c>
    </row>
    <row r="105" spans="1:20" x14ac:dyDescent="0.15">
      <c r="F105" s="35" t="s">
        <v>94</v>
      </c>
      <c r="G105" s="36">
        <f>SUBTOTAL(9,G8:G103)</f>
        <v>75</v>
      </c>
      <c r="H105" s="36"/>
      <c r="I105" s="36"/>
      <c r="J105" s="37"/>
      <c r="N105" s="35" t="s">
        <v>94</v>
      </c>
      <c r="O105" s="90">
        <f>SUBTOTAL(9,O8:O103)</f>
        <v>328500</v>
      </c>
    </row>
  </sheetData>
  <mergeCells count="2">
    <mergeCell ref="C6:D6"/>
    <mergeCell ref="E6:F6"/>
  </mergeCells>
  <phoneticPr fontId="3" type="noConversion"/>
  <conditionalFormatting sqref="I8:I103">
    <cfRule type="expression" dxfId="24" priority="2">
      <formula>$S8</formula>
    </cfRule>
  </conditionalFormatting>
  <conditionalFormatting sqref="H8:H103">
    <cfRule type="expression" dxfId="23" priority="1">
      <formula>$T8</formula>
    </cfRule>
  </conditionalFormatting>
  <pageMargins left="0.70866141732283472" right="0.70866141732283472" top="0.78740157480314965" bottom="0.78740157480314965" header="0.31496062992125984" footer="0.31496062992125984"/>
  <pageSetup paperSize="9" scale="54" fitToHeight="50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34F7409-4522-483B-ADBF-50D0993735D8}">
          <x14:formula1>
            <xm:f>基本情報!$B$19:$B$26</xm:f>
          </x14:formula1>
          <xm:sqref>J8:J103</xm:sqref>
        </x14:dataValidation>
        <x14:dataValidation type="list" allowBlank="1" showInputMessage="1" showErrorMessage="1" xr:uid="{0865E59F-0499-470E-B551-346441FB8C9F}">
          <x14:formula1>
            <xm:f>基本情報!$G$19:$G$26</xm:f>
          </x14:formula1>
          <xm:sqref>K8:K103</xm:sqref>
        </x14:dataValidation>
      </x14:dataValidations>
    </ext>
    <ext xmlns:x15="http://schemas.microsoft.com/office/spreadsheetml/2010/11/main" uri="{3A4CF648-6AED-40f4-86FF-DC5316D8AED3}">
      <x14:slicerList xmlns:x14="http://schemas.microsoft.com/office/spreadsheetml/2009/9/main">
        <x14:slicer r:id="rId4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5CDBB-F819-441C-9370-666071B3E277}">
  <sheetPr>
    <tabColor rgb="FFEF9D3E"/>
    <pageSetUpPr fitToPage="1"/>
  </sheetPr>
  <dimension ref="A1:E57"/>
  <sheetViews>
    <sheetView showGridLines="0" workbookViewId="0">
      <pane ySplit="7" topLeftCell="A8" activePane="bottomLeft" state="frozen"/>
      <selection activeCell="B5" sqref="B5"/>
      <selection pane="bottomLeft" activeCell="J24" sqref="J24"/>
    </sheetView>
  </sheetViews>
  <sheetFormatPr baseColWidth="10" defaultColWidth="11.5" defaultRowHeight="15" x14ac:dyDescent="0.15"/>
  <cols>
    <col min="1" max="1" width="3.5" style="2" customWidth="1"/>
    <col min="2" max="2" width="16.5" style="2" customWidth="1"/>
    <col min="3" max="3" width="11.5" style="3"/>
    <col min="4" max="4" width="24.5" style="2" customWidth="1"/>
    <col min="5" max="5" width="14.1640625" style="2" bestFit="1" customWidth="1"/>
    <col min="6" max="16384" width="11.5" style="2"/>
  </cols>
  <sheetData>
    <row r="1" spans="1:5" ht="20" customHeight="1" x14ac:dyDescent="0.15">
      <c r="C1" s="35"/>
      <c r="D1" s="38" t="s">
        <v>78</v>
      </c>
    </row>
    <row r="2" spans="1:5" ht="20" customHeight="1" x14ac:dyDescent="0.15">
      <c r="C2" s="46" t="s">
        <v>33</v>
      </c>
      <c r="D2" s="46">
        <f>COUNTIF($C$8:$C$57,C2)</f>
        <v>11</v>
      </c>
      <c r="E2" s="2" t="str">
        <f xml:space="preserve"> "残日数 " &amp; 基本情報!D9-D2 &amp; "日"</f>
        <v>残日数 9日</v>
      </c>
    </row>
    <row r="3" spans="1:5" ht="20" customHeight="1" x14ac:dyDescent="0.15">
      <c r="C3" s="46" t="s">
        <v>34</v>
      </c>
      <c r="D3" s="46">
        <f>COUNTIF($C$8:$C$57,C3)</f>
        <v>3</v>
      </c>
    </row>
    <row r="4" spans="1:5" ht="20" customHeight="1" x14ac:dyDescent="0.15">
      <c r="C4" s="2"/>
    </row>
    <row r="5" spans="1:5" ht="20" customHeight="1" x14ac:dyDescent="0.15">
      <c r="C5" s="46" t="s">
        <v>35</v>
      </c>
      <c r="D5" s="46">
        <f>SUM(D2:D4)</f>
        <v>14</v>
      </c>
    </row>
    <row r="6" spans="1:5" ht="20" customHeight="1" x14ac:dyDescent="0.15"/>
    <row r="7" spans="1:5" ht="20" customHeight="1" x14ac:dyDescent="0.15">
      <c r="B7" s="11" t="s">
        <v>6</v>
      </c>
      <c r="C7" s="14" t="s">
        <v>32</v>
      </c>
      <c r="D7" s="14" t="s">
        <v>31</v>
      </c>
    </row>
    <row r="8" spans="1:5" ht="20" customHeight="1" x14ac:dyDescent="0.15">
      <c r="A8" s="19" t="str">
        <f>IF(B8=0,"",
IF(WEEKDAY(B8)=1,"日",
IF(WEEKDAY(B8)=2,"月",
IF(WEEKDAY(B8)=3,"火",
IF(WEEKDAY(B8)=4,"水",
IF(WEEKDAY(B8)=5,"木",
IF(WEEKDAY(B8)=6,"金",
IF(WEEKDAY(B8)=7,"土"))))))))</f>
        <v>火</v>
      </c>
      <c r="B8" s="84">
        <v>45020</v>
      </c>
      <c r="C8" s="3" t="s">
        <v>33</v>
      </c>
      <c r="D8" s="82"/>
      <c r="E8" s="84"/>
    </row>
    <row r="9" spans="1:5" ht="20" customHeight="1" x14ac:dyDescent="0.15">
      <c r="A9" s="19" t="str">
        <f t="shared" ref="A9:A13" si="0">IF(B9=0,"",
IF(WEEKDAY(B9)=1,"日",
IF(WEEKDAY(B9)=2,"月",
IF(WEEKDAY(B9)=3,"火",
IF(WEEKDAY(B9)=4,"水",
IF(WEEKDAY(B9)=5,"木",
IF(WEEKDAY(B9)=6,"金",
IF(WEEKDAY(B9)=7,"土"))))))))</f>
        <v>水</v>
      </c>
      <c r="B9" s="84">
        <v>45021</v>
      </c>
      <c r="C9" s="3" t="s">
        <v>33</v>
      </c>
      <c r="D9" s="82"/>
      <c r="E9" s="84"/>
    </row>
    <row r="10" spans="1:5" ht="20" customHeight="1" x14ac:dyDescent="0.15">
      <c r="A10" s="19" t="str">
        <f t="shared" si="0"/>
        <v>火</v>
      </c>
      <c r="B10" s="84">
        <v>45027</v>
      </c>
      <c r="C10" s="3" t="s">
        <v>34</v>
      </c>
      <c r="D10" s="82"/>
      <c r="E10" s="84"/>
    </row>
    <row r="11" spans="1:5" ht="20" customHeight="1" x14ac:dyDescent="0.15">
      <c r="A11" s="19" t="str">
        <f t="shared" si="0"/>
        <v>水</v>
      </c>
      <c r="B11" s="84">
        <v>45028</v>
      </c>
      <c r="C11" s="3" t="s">
        <v>34</v>
      </c>
      <c r="D11" s="82"/>
      <c r="E11" s="84"/>
    </row>
    <row r="12" spans="1:5" ht="20" customHeight="1" x14ac:dyDescent="0.15">
      <c r="A12" s="19" t="str">
        <f t="shared" si="0"/>
        <v>月</v>
      </c>
      <c r="B12" s="84">
        <v>45054</v>
      </c>
      <c r="C12" s="3" t="s">
        <v>33</v>
      </c>
      <c r="D12" s="82"/>
      <c r="E12" s="84"/>
    </row>
    <row r="13" spans="1:5" ht="20" customHeight="1" x14ac:dyDescent="0.15">
      <c r="A13" s="19" t="str">
        <f t="shared" si="0"/>
        <v>火</v>
      </c>
      <c r="B13" s="84">
        <v>45055</v>
      </c>
      <c r="C13" s="3" t="s">
        <v>33</v>
      </c>
      <c r="D13" s="82"/>
      <c r="E13" s="84"/>
    </row>
    <row r="14" spans="1:5" ht="20" customHeight="1" x14ac:dyDescent="0.15">
      <c r="A14" s="19" t="str">
        <f t="shared" ref="A14:A24" si="1">IF(B14=0,"",
IF(WEEKDAY(B14)=1,"日",
IF(WEEKDAY(B14)=2,"月",
IF(WEEKDAY(B14)=3,"火",
IF(WEEKDAY(B14)=4,"水",
IF(WEEKDAY(B14)=5,"木",
IF(WEEKDAY(B14)=6,"金",
IF(WEEKDAY(B14)=7,"土"))))))))</f>
        <v>水</v>
      </c>
      <c r="B14" s="84">
        <v>45063</v>
      </c>
      <c r="C14" s="3" t="s">
        <v>33</v>
      </c>
      <c r="D14" s="82"/>
      <c r="E14" s="84"/>
    </row>
    <row r="15" spans="1:5" ht="20" customHeight="1" x14ac:dyDescent="0.15">
      <c r="A15" s="19" t="str">
        <f t="shared" si="1"/>
        <v>木</v>
      </c>
      <c r="B15" s="84">
        <v>45099</v>
      </c>
      <c r="C15" s="3" t="s">
        <v>33</v>
      </c>
      <c r="D15" s="82"/>
      <c r="E15" s="84"/>
    </row>
    <row r="16" spans="1:5" ht="20" customHeight="1" x14ac:dyDescent="0.15">
      <c r="A16" s="19" t="str">
        <f t="shared" si="1"/>
        <v>金</v>
      </c>
      <c r="B16" s="84">
        <v>45100</v>
      </c>
      <c r="C16" s="3" t="s">
        <v>33</v>
      </c>
      <c r="D16" s="82"/>
      <c r="E16" s="84"/>
    </row>
    <row r="17" spans="1:5" ht="20" customHeight="1" x14ac:dyDescent="0.15">
      <c r="A17" s="19" t="str">
        <f t="shared" si="1"/>
        <v>月</v>
      </c>
      <c r="B17" s="84">
        <v>45103</v>
      </c>
      <c r="C17" s="3" t="s">
        <v>33</v>
      </c>
      <c r="D17" s="82"/>
      <c r="E17" s="84"/>
    </row>
    <row r="18" spans="1:5" ht="20" customHeight="1" x14ac:dyDescent="0.15">
      <c r="A18" s="19" t="str">
        <f t="shared" si="1"/>
        <v>木</v>
      </c>
      <c r="B18" s="84">
        <v>45134</v>
      </c>
      <c r="C18" s="3" t="s">
        <v>34</v>
      </c>
      <c r="D18" s="82"/>
      <c r="E18" s="84"/>
    </row>
    <row r="19" spans="1:5" ht="20" customHeight="1" x14ac:dyDescent="0.15">
      <c r="A19" s="19" t="str">
        <f t="shared" si="1"/>
        <v>水</v>
      </c>
      <c r="B19" s="84">
        <v>45196</v>
      </c>
      <c r="C19" s="3" t="s">
        <v>33</v>
      </c>
      <c r="D19" s="82"/>
      <c r="E19" s="84"/>
    </row>
    <row r="20" spans="1:5" ht="20" customHeight="1" x14ac:dyDescent="0.15">
      <c r="A20" s="19" t="str">
        <f t="shared" si="1"/>
        <v>木</v>
      </c>
      <c r="B20" s="84">
        <v>45197</v>
      </c>
      <c r="C20" s="3" t="s">
        <v>33</v>
      </c>
      <c r="D20" s="82"/>
      <c r="E20" s="84"/>
    </row>
    <row r="21" spans="1:5" ht="20" customHeight="1" x14ac:dyDescent="0.15">
      <c r="A21" s="19" t="str">
        <f t="shared" si="1"/>
        <v>金</v>
      </c>
      <c r="B21" s="84">
        <v>45198</v>
      </c>
      <c r="C21" s="3" t="s">
        <v>33</v>
      </c>
      <c r="D21" s="82"/>
      <c r="E21" s="84"/>
    </row>
    <row r="22" spans="1:5" ht="20" customHeight="1" x14ac:dyDescent="0.15">
      <c r="A22" s="19" t="str">
        <f t="shared" si="1"/>
        <v/>
      </c>
      <c r="B22" s="84"/>
      <c r="D22" s="82"/>
      <c r="E22" s="84"/>
    </row>
    <row r="23" spans="1:5" ht="20" customHeight="1" x14ac:dyDescent="0.15">
      <c r="A23" s="19" t="str">
        <f t="shared" si="1"/>
        <v/>
      </c>
      <c r="B23" s="84"/>
      <c r="D23" s="82"/>
      <c r="E23" s="84"/>
    </row>
    <row r="24" spans="1:5" ht="20" customHeight="1" x14ac:dyDescent="0.15">
      <c r="A24" s="19" t="str">
        <f t="shared" si="1"/>
        <v/>
      </c>
      <c r="B24" s="84"/>
      <c r="D24" s="82"/>
      <c r="E24" s="84"/>
    </row>
    <row r="25" spans="1:5" ht="20" customHeight="1" x14ac:dyDescent="0.15">
      <c r="A25" s="19" t="str">
        <f t="shared" ref="A25:A57" si="2">IF(B25=0,"",
IF(WEEKDAY(B25)=1,"日",
IF(WEEKDAY(B25)=2,"月",
IF(WEEKDAY(B25)=3,"火",
IF(WEEKDAY(B25)=4,"水",
IF(WEEKDAY(B25)=5,"木",
IF(WEEKDAY(B25)=6,"金",
IF(WEEKDAY(B25)=7,"土"))))))))</f>
        <v/>
      </c>
      <c r="B25" s="84"/>
      <c r="D25" s="82"/>
      <c r="E25" s="84"/>
    </row>
    <row r="26" spans="1:5" ht="20" customHeight="1" x14ac:dyDescent="0.15">
      <c r="A26" s="19" t="str">
        <f t="shared" si="2"/>
        <v/>
      </c>
      <c r="B26" s="84"/>
      <c r="D26" s="82"/>
      <c r="E26" s="84"/>
    </row>
    <row r="27" spans="1:5" ht="20" customHeight="1" x14ac:dyDescent="0.15">
      <c r="A27" s="19" t="str">
        <f t="shared" si="2"/>
        <v/>
      </c>
      <c r="B27" s="84"/>
      <c r="D27" s="82"/>
      <c r="E27" s="84"/>
    </row>
    <row r="28" spans="1:5" ht="20" customHeight="1" x14ac:dyDescent="0.15">
      <c r="A28" s="19" t="str">
        <f t="shared" si="2"/>
        <v/>
      </c>
      <c r="B28" s="84"/>
      <c r="D28" s="82"/>
      <c r="E28" s="84"/>
    </row>
    <row r="29" spans="1:5" ht="20" customHeight="1" x14ac:dyDescent="0.15">
      <c r="A29" s="19" t="str">
        <f t="shared" si="2"/>
        <v/>
      </c>
      <c r="B29" s="84"/>
      <c r="D29" s="82"/>
      <c r="E29" s="84"/>
    </row>
    <row r="30" spans="1:5" ht="20" customHeight="1" x14ac:dyDescent="0.15">
      <c r="A30" s="19" t="str">
        <f t="shared" si="2"/>
        <v/>
      </c>
      <c r="B30" s="84"/>
      <c r="D30" s="82"/>
      <c r="E30" s="84"/>
    </row>
    <row r="31" spans="1:5" ht="20" customHeight="1" x14ac:dyDescent="0.15">
      <c r="A31" s="19" t="str">
        <f t="shared" si="2"/>
        <v/>
      </c>
      <c r="B31" s="84"/>
      <c r="D31" s="82"/>
      <c r="E31" s="84"/>
    </row>
    <row r="32" spans="1:5" ht="20" customHeight="1" x14ac:dyDescent="0.15">
      <c r="A32" s="19" t="str">
        <f t="shared" si="2"/>
        <v/>
      </c>
      <c r="B32" s="84"/>
      <c r="D32" s="82"/>
      <c r="E32" s="84"/>
    </row>
    <row r="33" spans="1:5" ht="20" customHeight="1" x14ac:dyDescent="0.15">
      <c r="A33" s="19" t="str">
        <f t="shared" si="2"/>
        <v/>
      </c>
      <c r="B33" s="84"/>
      <c r="D33" s="82"/>
      <c r="E33" s="84"/>
    </row>
    <row r="34" spans="1:5" ht="20" customHeight="1" x14ac:dyDescent="0.15">
      <c r="A34" s="19" t="str">
        <f t="shared" si="2"/>
        <v/>
      </c>
      <c r="B34" s="84"/>
      <c r="D34" s="82"/>
      <c r="E34" s="84"/>
    </row>
    <row r="35" spans="1:5" ht="20" customHeight="1" x14ac:dyDescent="0.15">
      <c r="A35" s="19" t="str">
        <f t="shared" si="2"/>
        <v/>
      </c>
      <c r="B35" s="84"/>
      <c r="D35" s="82"/>
      <c r="E35" s="84"/>
    </row>
    <row r="36" spans="1:5" ht="20" customHeight="1" x14ac:dyDescent="0.15">
      <c r="A36" s="19" t="str">
        <f t="shared" si="2"/>
        <v/>
      </c>
      <c r="B36" s="84"/>
      <c r="D36" s="82"/>
      <c r="E36" s="84"/>
    </row>
    <row r="37" spans="1:5" ht="20" customHeight="1" x14ac:dyDescent="0.15">
      <c r="A37" s="19" t="str">
        <f t="shared" si="2"/>
        <v/>
      </c>
      <c r="B37" s="84"/>
      <c r="D37" s="82"/>
      <c r="E37" s="84"/>
    </row>
    <row r="38" spans="1:5" ht="20" customHeight="1" x14ac:dyDescent="0.15">
      <c r="A38" s="19" t="str">
        <f t="shared" si="2"/>
        <v/>
      </c>
      <c r="B38" s="84"/>
      <c r="D38" s="82"/>
      <c r="E38" s="84"/>
    </row>
    <row r="39" spans="1:5" ht="20" customHeight="1" x14ac:dyDescent="0.15">
      <c r="A39" s="19" t="str">
        <f t="shared" si="2"/>
        <v/>
      </c>
      <c r="B39" s="84"/>
      <c r="D39" s="82"/>
      <c r="E39" s="84"/>
    </row>
    <row r="40" spans="1:5" ht="20" customHeight="1" x14ac:dyDescent="0.15">
      <c r="A40" s="19" t="str">
        <f t="shared" si="2"/>
        <v/>
      </c>
      <c r="B40" s="84"/>
      <c r="D40" s="82"/>
      <c r="E40" s="84"/>
    </row>
    <row r="41" spans="1:5" ht="20" customHeight="1" x14ac:dyDescent="0.15">
      <c r="A41" s="19" t="str">
        <f t="shared" si="2"/>
        <v/>
      </c>
      <c r="B41" s="84"/>
      <c r="D41" s="82"/>
      <c r="E41" s="84"/>
    </row>
    <row r="42" spans="1:5" ht="20" customHeight="1" x14ac:dyDescent="0.15">
      <c r="A42" s="19" t="str">
        <f t="shared" si="2"/>
        <v/>
      </c>
      <c r="B42" s="84"/>
      <c r="D42" s="82"/>
      <c r="E42" s="84"/>
    </row>
    <row r="43" spans="1:5" ht="20" customHeight="1" x14ac:dyDescent="0.15">
      <c r="A43" s="19" t="str">
        <f t="shared" si="2"/>
        <v/>
      </c>
      <c r="B43" s="84"/>
      <c r="D43" s="82"/>
      <c r="E43" s="84"/>
    </row>
    <row r="44" spans="1:5" ht="20" customHeight="1" x14ac:dyDescent="0.15">
      <c r="A44" s="19" t="str">
        <f t="shared" si="2"/>
        <v/>
      </c>
      <c r="B44" s="84"/>
      <c r="D44" s="82"/>
      <c r="E44" s="84"/>
    </row>
    <row r="45" spans="1:5" ht="20" customHeight="1" x14ac:dyDescent="0.15">
      <c r="A45" s="19" t="str">
        <f t="shared" si="2"/>
        <v/>
      </c>
      <c r="B45" s="84"/>
      <c r="D45" s="82"/>
      <c r="E45" s="84"/>
    </row>
    <row r="46" spans="1:5" ht="20" customHeight="1" x14ac:dyDescent="0.15">
      <c r="A46" s="19" t="str">
        <f t="shared" si="2"/>
        <v/>
      </c>
      <c r="B46" s="84"/>
      <c r="D46" s="82"/>
      <c r="E46" s="84"/>
    </row>
    <row r="47" spans="1:5" ht="20" customHeight="1" x14ac:dyDescent="0.15">
      <c r="A47" s="19" t="str">
        <f t="shared" si="2"/>
        <v/>
      </c>
      <c r="B47" s="4"/>
      <c r="D47" s="83"/>
    </row>
    <row r="48" spans="1:5" ht="20" customHeight="1" x14ac:dyDescent="0.15">
      <c r="A48" s="19" t="str">
        <f t="shared" si="2"/>
        <v/>
      </c>
      <c r="B48" s="4"/>
    </row>
    <row r="49" spans="1:2" ht="20" customHeight="1" x14ac:dyDescent="0.15">
      <c r="A49" s="19" t="str">
        <f t="shared" si="2"/>
        <v/>
      </c>
      <c r="B49" s="4"/>
    </row>
    <row r="50" spans="1:2" ht="20" customHeight="1" x14ac:dyDescent="0.15">
      <c r="A50" s="19" t="str">
        <f t="shared" si="2"/>
        <v/>
      </c>
      <c r="B50" s="4"/>
    </row>
    <row r="51" spans="1:2" ht="20" customHeight="1" x14ac:dyDescent="0.15">
      <c r="A51" s="19" t="str">
        <f t="shared" si="2"/>
        <v/>
      </c>
      <c r="B51" s="4"/>
    </row>
    <row r="52" spans="1:2" ht="20" customHeight="1" x14ac:dyDescent="0.15">
      <c r="A52" s="19" t="str">
        <f t="shared" si="2"/>
        <v/>
      </c>
      <c r="B52" s="4"/>
    </row>
    <row r="53" spans="1:2" ht="20" customHeight="1" x14ac:dyDescent="0.15">
      <c r="A53" s="19" t="str">
        <f t="shared" si="2"/>
        <v/>
      </c>
      <c r="B53" s="4"/>
    </row>
    <row r="54" spans="1:2" ht="20" customHeight="1" x14ac:dyDescent="0.15">
      <c r="A54" s="19" t="str">
        <f t="shared" si="2"/>
        <v/>
      </c>
      <c r="B54" s="4"/>
    </row>
    <row r="55" spans="1:2" ht="20" customHeight="1" x14ac:dyDescent="0.15">
      <c r="A55" s="19" t="str">
        <f t="shared" si="2"/>
        <v/>
      </c>
      <c r="B55" s="4"/>
    </row>
    <row r="56" spans="1:2" ht="20" customHeight="1" x14ac:dyDescent="0.15">
      <c r="A56" s="19" t="str">
        <f t="shared" si="2"/>
        <v/>
      </c>
      <c r="B56" s="4"/>
    </row>
    <row r="57" spans="1:2" ht="20" customHeight="1" x14ac:dyDescent="0.15">
      <c r="A57" s="19" t="str">
        <f t="shared" si="2"/>
        <v/>
      </c>
      <c r="B57" s="4"/>
    </row>
  </sheetData>
  <phoneticPr fontId="16"/>
  <conditionalFormatting sqref="C8:C57">
    <cfRule type="expression" dxfId="0" priority="2">
      <formula>EXACT($C8,$C$3)</formula>
    </cfRule>
  </conditionalFormatting>
  <dataValidations count="1">
    <dataValidation type="list" allowBlank="1" showInputMessage="1" showErrorMessage="1" sqref="C8:C57" xr:uid="{142B08E8-224A-4D03-A2E6-72685898D839}">
      <formula1>$C$2:$C$4</formula1>
    </dataValidation>
  </dataValidations>
  <pageMargins left="0.70866141732283472" right="0.70866141732283472" top="0.78740157480314965" bottom="0.78740157480314965" header="0.31496062992125984" footer="0.31496062992125984"/>
  <pageSetup paperSize="9" scale="80" fitToHeight="6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C0E37-45AA-4917-A831-EE28FA90A00D}">
  <sheetPr>
    <tabColor rgb="FF244D80"/>
    <outlinePr summaryBelow="0" summaryRight="0"/>
    <pageSetUpPr fitToPage="1"/>
  </sheetPr>
  <dimension ref="B1:N18"/>
  <sheetViews>
    <sheetView showGridLines="0" zoomScale="110" zoomScaleNormal="110" workbookViewId="0">
      <pane ySplit="4" topLeftCell="A5" activePane="bottomLeft" state="frozen"/>
      <selection pane="bottomLeft" activeCell="I26" sqref="I26"/>
    </sheetView>
  </sheetViews>
  <sheetFormatPr baseColWidth="10" defaultColWidth="11.5" defaultRowHeight="17" outlineLevelCol="1" x14ac:dyDescent="0.15"/>
  <cols>
    <col min="1" max="1" width="4.1640625" style="47" customWidth="1"/>
    <col min="2" max="2" width="22.83203125" style="47" customWidth="1"/>
    <col min="3" max="3" width="15" style="48" customWidth="1" outlineLevel="1"/>
    <col min="4" max="4" width="14.5" style="48" customWidth="1" outlineLevel="1"/>
    <col min="5" max="5" width="13.6640625" style="48" customWidth="1" outlineLevel="1"/>
    <col min="6" max="6" width="16.5" style="48" customWidth="1" outlineLevel="1"/>
    <col min="7" max="8" width="11.5" style="48" customWidth="1" outlineLevel="1"/>
    <col min="9" max="9" width="18.83203125" style="51" customWidth="1" collapsed="1"/>
    <col min="10" max="10" width="22.5" style="51" hidden="1" customWidth="1" outlineLevel="1"/>
    <col min="11" max="11" width="29.1640625" style="51" customWidth="1"/>
    <col min="12" max="13" width="13.33203125" style="51" customWidth="1"/>
    <col min="14" max="14" width="21.5" style="51" bestFit="1" customWidth="1"/>
    <col min="15" max="16384" width="11.5" style="47"/>
  </cols>
  <sheetData>
    <row r="1" spans="2:14" x14ac:dyDescent="0.15">
      <c r="I1" s="49" t="s">
        <v>113</v>
      </c>
      <c r="J1" s="47"/>
      <c r="K1" s="50">
        <f ca="1">TODAY()</f>
        <v>45093</v>
      </c>
    </row>
    <row r="2" spans="2:14" x14ac:dyDescent="0.15">
      <c r="I2" s="49" t="s">
        <v>114</v>
      </c>
      <c r="J2" s="47"/>
      <c r="K2" s="52">
        <f ca="1">NETWORKDAYS(C5,K1,祝日・休日!$B$3:$B$40)</f>
        <v>113</v>
      </c>
    </row>
    <row r="4" spans="2:14" s="53" customFormat="1" ht="36" x14ac:dyDescent="0.25">
      <c r="C4" s="54" t="s">
        <v>100</v>
      </c>
      <c r="D4" s="54" t="s">
        <v>101</v>
      </c>
      <c r="E4" s="54" t="s">
        <v>103</v>
      </c>
      <c r="F4" s="54" t="s">
        <v>102</v>
      </c>
      <c r="G4" s="54" t="s">
        <v>104</v>
      </c>
      <c r="H4" s="54" t="s">
        <v>105</v>
      </c>
      <c r="I4" s="55" t="s">
        <v>106</v>
      </c>
      <c r="J4" s="55" t="s">
        <v>1</v>
      </c>
      <c r="K4" s="55" t="s">
        <v>107</v>
      </c>
      <c r="L4" s="55" t="s">
        <v>108</v>
      </c>
      <c r="M4" s="55" t="s">
        <v>109</v>
      </c>
      <c r="N4" s="51"/>
    </row>
    <row r="5" spans="2:14" x14ac:dyDescent="0.15">
      <c r="B5" s="56" t="s">
        <v>80</v>
      </c>
      <c r="C5" s="57">
        <f>DATE(基本情報!$D$8,1,1)</f>
        <v>44927</v>
      </c>
      <c r="D5" s="57">
        <f>C6-1</f>
        <v>44957</v>
      </c>
      <c r="E5" s="58">
        <f>NETWORKDAYS(C5,D5,祝日・休日!$B$3:$B$40)</f>
        <v>20</v>
      </c>
      <c r="F5" s="58">
        <f>E5*基本情報!$D$10</f>
        <v>150</v>
      </c>
      <c r="G5" s="59">
        <f>休暇管理!$D$5-COUNTIF(休暇管理!$B$8:$B$57,"&lt; " &amp; '【レポート】月別　労働時間・日数'!C5)-COUNTIF(休暇管理!$B$8:$B$57,"&gt; " &amp; '【レポート】月別　労働時間・日数'!D5)</f>
        <v>0</v>
      </c>
      <c r="H5" s="59">
        <f>G5*基本情報!$D$10</f>
        <v>0</v>
      </c>
      <c r="I5" s="60">
        <f>スケジュール!$G$104-SUMIF(Tabelle1[日付],"&lt; " &amp; '【レポート】月別　労働時間・日数'!C5,Tabelle1[労働時間])-SUMIF(Tabelle1[日付],"&gt; " &amp; '【レポート】月別　労働時間・日数'!D5,Tabelle1[労働時間])</f>
        <v>0</v>
      </c>
      <c r="J5" s="61">
        <f ca="1">IF(D5&lt;$K$1,I5-F5+H5,
IF(C5&lt;$K$1,
I5-
K2*基本情報!$D$10
+H5,
0))</f>
        <v>-150</v>
      </c>
      <c r="K5" s="62">
        <f ca="1">IF(D5&lt;$K$1,J5,0)</f>
        <v>-150</v>
      </c>
      <c r="L5" s="63" cm="1">
        <f t="array" ref="L5">SUMPRODUCT(--(休暇管理!$B$8:$B$57 &gt; 0),--(休暇管理!$B$8:$B$57 &lt;  '【レポート】月別　労働時間・日数'!$D5),--(休暇管理!$C$8:$C$57=L$4))</f>
        <v>0</v>
      </c>
      <c r="M5" s="63" cm="1">
        <f t="array" ref="M5">SUMPRODUCT(--(休暇管理!$B$8:$B$57 &gt; 0),--(休暇管理!$B$8:$B$57 &lt;  '【レポート】月別　労働時間・日数'!$D5),--(休暇管理!$C$8:$C$57=M$4))</f>
        <v>0</v>
      </c>
      <c r="N5" s="64"/>
    </row>
    <row r="6" spans="2:14" x14ac:dyDescent="0.15">
      <c r="B6" s="56" t="s">
        <v>81</v>
      </c>
      <c r="C6" s="57">
        <f>DATE(基本情報!$D$8,2,1)</f>
        <v>44958</v>
      </c>
      <c r="D6" s="57">
        <f t="shared" ref="D6:D15" si="0">C7-1</f>
        <v>44985</v>
      </c>
      <c r="E6" s="58">
        <f>NETWORKDAYS(C6,D6,祝日・休日!$B$3:$B$40)</f>
        <v>19</v>
      </c>
      <c r="F6" s="58">
        <f>E6*基本情報!$D$10</f>
        <v>142.5</v>
      </c>
      <c r="G6" s="59">
        <f>休暇管理!$D$5-COUNTIF(休暇管理!$B$8:$B$57,"&lt; " &amp; '【レポート】月別　労働時間・日数'!C6)-COUNTIF(休暇管理!$B$8:$B$57,"&gt; " &amp; '【レポート】月別　労働時間・日数'!D6)</f>
        <v>0</v>
      </c>
      <c r="H6" s="59">
        <f>G6*基本情報!$D$10</f>
        <v>0</v>
      </c>
      <c r="I6" s="60">
        <f>スケジュール!$G$104-SUMIF(Tabelle1[日付],"&lt; " &amp; '【レポート】月別　労働時間・日数'!C6,Tabelle1[労働時間])-SUMIF(Tabelle1[日付],"&gt; " &amp; '【レポート】月別　労働時間・日数'!D6,Tabelle1[労働時間])</f>
        <v>0</v>
      </c>
      <c r="J6" s="61">
        <f ca="1">IF(D6&lt;$K$1,I6-F6+H6,
IF(C6&lt;$K$1,
I6-
(($K$2-SUM($E$5:E5))*基本情報!$D$10)
+H6,
0))</f>
        <v>-142.5</v>
      </c>
      <c r="K6" s="62">
        <f t="shared" ref="K6:K17" ca="1" si="1">IF(D5&lt;$K$1,K5+J6,0)</f>
        <v>-292.5</v>
      </c>
      <c r="L6" s="63" cm="1">
        <f t="array" ref="L6">SUMPRODUCT(--(休暇管理!$B$8:$B$57 &gt; 0),--(休暇管理!$B$8:$B$57 &lt;  '【レポート】月別　労働時間・日数'!$D6),--(休暇管理!$C$8:$C$57=L$4))-
SUMPRODUCT(--(休暇管理!$B$8:$B$57 &gt; 0),--(休暇管理!$B$8:$B$57 &lt;  '【レポート】月別　労働時間・日数'!$D5),--(休暇管理!$C$8:$C$57=L$4))</f>
        <v>0</v>
      </c>
      <c r="M6" s="63" cm="1">
        <f t="array" ref="M6">SUMPRODUCT(--(休暇管理!$B$8:$B$57 &gt; 0),--(休暇管理!$B$8:$B$57 &lt;  '【レポート】月別　労働時間・日数'!$D6),--(休暇管理!$C$8:$C$57=M$4))-
SUMPRODUCT(--(休暇管理!$B$8:$B$57 &gt; 0),--(休暇管理!$B$8:$B$57 &lt;  '【レポート】月別　労働時間・日数'!$D5),--(休暇管理!$C$8:$C$57=M$4))</f>
        <v>0</v>
      </c>
      <c r="N6" s="64"/>
    </row>
    <row r="7" spans="2:14" x14ac:dyDescent="0.15">
      <c r="B7" s="56" t="s">
        <v>82</v>
      </c>
      <c r="C7" s="57">
        <f>DATE(基本情報!$D$8,3,1)</f>
        <v>44986</v>
      </c>
      <c r="D7" s="57">
        <f t="shared" si="0"/>
        <v>45016</v>
      </c>
      <c r="E7" s="58">
        <f>NETWORKDAYS(C7,D7,祝日・休日!$B$3:$B$40)</f>
        <v>22</v>
      </c>
      <c r="F7" s="58">
        <f>E7*基本情報!$D$10</f>
        <v>165</v>
      </c>
      <c r="G7" s="59">
        <f>休暇管理!$D$5-COUNTIF(休暇管理!$B$8:$B$57,"&lt; " &amp; '【レポート】月別　労働時間・日数'!C7)-COUNTIF(休暇管理!$B$8:$B$57,"&gt; " &amp; '【レポート】月別　労働時間・日数'!D7)</f>
        <v>0</v>
      </c>
      <c r="H7" s="59">
        <f>G7*基本情報!$D$10</f>
        <v>0</v>
      </c>
      <c r="I7" s="60">
        <f>スケジュール!$G$104-SUMIF(Tabelle1[日付],"&lt; " &amp; '【レポート】月別　労働時間・日数'!C7,Tabelle1[労働時間])-SUMIF(Tabelle1[日付],"&gt; " &amp; '【レポート】月別　労働時間・日数'!D7,Tabelle1[労働時間])</f>
        <v>0</v>
      </c>
      <c r="J7" s="61">
        <f ca="1">IF(D7&lt;$K$1,I7-F7+H7,
IF(C7&lt;$K$1,
I7-
(($K$2-SUM($E$5:E6))*基本情報!$D$10)
+H7,
0))</f>
        <v>-165</v>
      </c>
      <c r="K7" s="62">
        <f t="shared" ca="1" si="1"/>
        <v>-457.5</v>
      </c>
      <c r="L7" s="63" cm="1">
        <f t="array" ref="L7">SUMPRODUCT(--(休暇管理!$B$8:$B$57 &gt; 0),--(休暇管理!$B$8:$B$57 &lt;  '【レポート】月別　労働時間・日数'!$D7),--(休暇管理!$C$8:$C$57=L$4))-
SUMPRODUCT(--(休暇管理!$B$8:$B$57 &gt; 0),--(休暇管理!$B$8:$B$57 &lt;  '【レポート】月別　労働時間・日数'!$D6),--(休暇管理!$C$8:$C$57=L$4))</f>
        <v>0</v>
      </c>
      <c r="M7" s="63" cm="1">
        <f t="array" ref="M7">SUMPRODUCT(--(休暇管理!$B$8:$B$57 &gt; 0),--(休暇管理!$B$8:$B$57 &lt;  '【レポート】月別　労働時間・日数'!$D7),--(休暇管理!$C$8:$C$57=M$4))-
SUMPRODUCT(--(休暇管理!$B$8:$B$57 &gt; 0),--(休暇管理!$B$8:$B$57 &lt;  '【レポート】月別　労働時間・日数'!$D6),--(休暇管理!$C$8:$C$57=M$4))</f>
        <v>0</v>
      </c>
      <c r="N7" s="64"/>
    </row>
    <row r="8" spans="2:14" x14ac:dyDescent="0.15">
      <c r="B8" s="56" t="s">
        <v>83</v>
      </c>
      <c r="C8" s="57">
        <f>DATE(基本情報!$D$8,4,1)</f>
        <v>45017</v>
      </c>
      <c r="D8" s="57">
        <f t="shared" si="0"/>
        <v>45046</v>
      </c>
      <c r="E8" s="58">
        <f>NETWORKDAYS(C8,D8,祝日・休日!$B$3:$B$40)</f>
        <v>20</v>
      </c>
      <c r="F8" s="58">
        <f>E8*基本情報!$D$10</f>
        <v>150</v>
      </c>
      <c r="G8" s="59">
        <f>休暇管理!$D$5-COUNTIF(休暇管理!$B$8:$B$57,"&lt; " &amp; '【レポート】月別　労働時間・日数'!C8)-COUNTIF(休暇管理!$B$8:$B$57,"&gt; " &amp; '【レポート】月別　労働時間・日数'!D8)</f>
        <v>4</v>
      </c>
      <c r="H8" s="59">
        <f>G8*基本情報!$D$10</f>
        <v>30</v>
      </c>
      <c r="I8" s="60">
        <f>スケジュール!$G$104-SUMIF(Tabelle1[日付],"&lt; " &amp; '【レポート】月別　労働時間・日数'!C8,Tabelle1[労働時間])-SUMIF(Tabelle1[日付],"&gt; " &amp; '【レポート】月別　労働時間・日数'!D8,Tabelle1[労働時間])</f>
        <v>45.5</v>
      </c>
      <c r="J8" s="61">
        <f ca="1">IF(D8&lt;$K$1,I8-F8+H8,
IF(C8&lt;$K$1,
I8-
(($K$2-SUM($E$5:E7))*基本情報!$D$10)
+H8,
0))</f>
        <v>-74.5</v>
      </c>
      <c r="K8" s="62">
        <f t="shared" ca="1" si="1"/>
        <v>-532</v>
      </c>
      <c r="L8" s="63" cm="1">
        <f t="array" ref="L8">SUMPRODUCT(--(休暇管理!$B$8:$B$57 &gt; 0),--(休暇管理!$B$8:$B$57 &lt;  '【レポート】月別　労働時間・日数'!$D8),--(休暇管理!$C$8:$C$57=L$4))-
SUMPRODUCT(--(休暇管理!$B$8:$B$57 &gt; 0),--(休暇管理!$B$8:$B$57 &lt;  '【レポート】月別　労働時間・日数'!$D7),--(休暇管理!$C$8:$C$57=L$4))</f>
        <v>2</v>
      </c>
      <c r="M8" s="63" cm="1">
        <f t="array" ref="M8">SUMPRODUCT(--(休暇管理!$B$8:$B$57 &gt; 0),--(休暇管理!$B$8:$B$57 &lt;  '【レポート】月別　労働時間・日数'!$D8),--(休暇管理!$C$8:$C$57=M$4))-
SUMPRODUCT(--(休暇管理!$B$8:$B$57 &gt; 0),--(休暇管理!$B$8:$B$57 &lt;  '【レポート】月別　労働時間・日数'!$D7),--(休暇管理!$C$8:$C$57=M$4))</f>
        <v>2</v>
      </c>
      <c r="N8" s="64"/>
    </row>
    <row r="9" spans="2:14" x14ac:dyDescent="0.15">
      <c r="B9" s="56" t="s">
        <v>84</v>
      </c>
      <c r="C9" s="57">
        <f>DATE(基本情報!$D$8,5,1)</f>
        <v>45047</v>
      </c>
      <c r="D9" s="57">
        <f t="shared" si="0"/>
        <v>45077</v>
      </c>
      <c r="E9" s="58">
        <f>NETWORKDAYS(C9,D9,祝日・休日!$B$3:$B$40)</f>
        <v>20</v>
      </c>
      <c r="F9" s="58">
        <f>E9*基本情報!$D$10</f>
        <v>150</v>
      </c>
      <c r="G9" s="59">
        <f>休暇管理!$D$5-COUNTIF(休暇管理!$B$8:$B$57,"&lt; " &amp; '【レポート】月別　労働時間・日数'!C9)-COUNTIF(休暇管理!$B$8:$B$57,"&gt; " &amp; '【レポート】月別　労働時間・日数'!D9)</f>
        <v>3</v>
      </c>
      <c r="H9" s="59">
        <f>G9*基本情報!$D$10</f>
        <v>22.5</v>
      </c>
      <c r="I9" s="60">
        <f>スケジュール!$G$104-SUMIF(Tabelle1[日付],"&lt; " &amp; '【レポート】月別　労働時間・日数'!C9,Tabelle1[労働時間])-SUMIF(Tabelle1[日付],"&gt; " &amp; '【レポート】月別　労働時間・日数'!D9,Tabelle1[労働時間])</f>
        <v>29.5</v>
      </c>
      <c r="J9" s="61">
        <f ca="1">IF(D9&lt;$K$1,I9-F9+H9,
IF(C9&lt;$K$1,
I9-
(($K$2-SUM($E$5:E8))*基本情報!$D$10)
+H9,
0))</f>
        <v>-98</v>
      </c>
      <c r="K9" s="62">
        <f t="shared" ca="1" si="1"/>
        <v>-630</v>
      </c>
      <c r="L9" s="63" cm="1">
        <f t="array" ref="L9">SUMPRODUCT(--(休暇管理!$B$8:$B$57 &gt; 0),--(休暇管理!$B$8:$B$57 &lt;  '【レポート】月別　労働時間・日数'!$D9),--(休暇管理!$C$8:$C$57=L$4))-
SUMPRODUCT(--(休暇管理!$B$8:$B$57 &gt; 0),--(休暇管理!$B$8:$B$57 &lt;  '【レポート】月別　労働時間・日数'!$D8),--(休暇管理!$C$8:$C$57=L$4))</f>
        <v>0</v>
      </c>
      <c r="M9" s="63" cm="1">
        <f t="array" ref="M9">SUMPRODUCT(--(休暇管理!$B$8:$B$57 &gt; 0),--(休暇管理!$B$8:$B$57 &lt;  '【レポート】月別　労働時間・日数'!$D9),--(休暇管理!$C$8:$C$57=M$4))-
SUMPRODUCT(--(休暇管理!$B$8:$B$57 &gt; 0),--(休暇管理!$B$8:$B$57 &lt;  '【レポート】月別　労働時間・日数'!$D8),--(休暇管理!$C$8:$C$57=M$4))</f>
        <v>3</v>
      </c>
      <c r="N9" s="64"/>
    </row>
    <row r="10" spans="2:14" x14ac:dyDescent="0.15">
      <c r="B10" s="56" t="s">
        <v>85</v>
      </c>
      <c r="C10" s="57">
        <f>DATE(基本情報!$D$8,6,1)</f>
        <v>45078</v>
      </c>
      <c r="D10" s="57">
        <f t="shared" si="0"/>
        <v>45107</v>
      </c>
      <c r="E10" s="58">
        <f>NETWORKDAYS(C10,D10,祝日・休日!$B$3:$B$40)</f>
        <v>22</v>
      </c>
      <c r="F10" s="58">
        <f>E10*基本情報!$D$10</f>
        <v>165</v>
      </c>
      <c r="G10" s="59">
        <f>休暇管理!$D$5-COUNTIF(休暇管理!$B$8:$B$57,"&lt; " &amp; '【レポート】月別　労働時間・日数'!C10)-COUNTIF(休暇管理!$B$8:$B$57,"&gt; " &amp; '【レポート】月別　労働時間・日数'!D10)</f>
        <v>3</v>
      </c>
      <c r="H10" s="59">
        <f>G10*基本情報!$D$10</f>
        <v>22.5</v>
      </c>
      <c r="I10" s="60">
        <f>スケジュール!$G$104-SUMIF(Tabelle1[日付],"&lt; " &amp; '【レポート】月別　労働時間・日数'!C10,Tabelle1[労働時間])-SUMIF(Tabelle1[日付],"&gt; " &amp; '【レポート】月別　労働時間・日数'!D10,Tabelle1[労働時間])</f>
        <v>0</v>
      </c>
      <c r="J10" s="61">
        <f ca="1">IF(D10&lt;$K$1,I10-F10+H10,
IF(C10&lt;$K$1,
I10-
(($K$2-SUM($E$5:E9))*基本情報!$D$10)
+H10,
0))</f>
        <v>-67.5</v>
      </c>
      <c r="K10" s="62">
        <f t="shared" ca="1" si="1"/>
        <v>-697.5</v>
      </c>
      <c r="L10" s="63" cm="1">
        <f t="array" ref="L10">SUMPRODUCT(--(休暇管理!$B$8:$B$57 &gt; 0),--(休暇管理!$B$8:$B$57 &lt;  '【レポート】月別　労働時間・日数'!$D10),--(休暇管理!$C$8:$C$57=L$4))-
SUMPRODUCT(--(休暇管理!$B$8:$B$57 &gt; 0),--(休暇管理!$B$8:$B$57 &lt;  '【レポート】月別　労働時間・日数'!$D9),--(休暇管理!$C$8:$C$57=L$4))</f>
        <v>0</v>
      </c>
      <c r="M10" s="63" cm="1">
        <f t="array" ref="M10">SUMPRODUCT(--(休暇管理!$B$8:$B$57 &gt; 0),--(休暇管理!$B$8:$B$57 &lt;  '【レポート】月別　労働時間・日数'!$D10),--(休暇管理!$C$8:$C$57=M$4))-
SUMPRODUCT(--(休暇管理!$B$8:$B$57 &gt; 0),--(休暇管理!$B$8:$B$57 &lt;  '【レポート】月別　労働時間・日数'!$D9),--(休暇管理!$C$8:$C$57=M$4))</f>
        <v>3</v>
      </c>
      <c r="N10" s="64"/>
    </row>
    <row r="11" spans="2:14" x14ac:dyDescent="0.15">
      <c r="B11" s="56" t="s">
        <v>86</v>
      </c>
      <c r="C11" s="57">
        <f>DATE(基本情報!$D$8,7,1)</f>
        <v>45108</v>
      </c>
      <c r="D11" s="57">
        <f t="shared" si="0"/>
        <v>45138</v>
      </c>
      <c r="E11" s="58">
        <f>NETWORKDAYS(C11,D11,祝日・休日!$B$3:$B$40)</f>
        <v>20</v>
      </c>
      <c r="F11" s="58">
        <f>E11*基本情報!$D$10</f>
        <v>150</v>
      </c>
      <c r="G11" s="59">
        <f>休暇管理!$D$5-COUNTIF(休暇管理!$B$8:$B$57,"&lt; " &amp; '【レポート】月別　労働時間・日数'!C11)-COUNTIF(休暇管理!$B$8:$B$57,"&gt; " &amp; '【レポート】月別　労働時間・日数'!D11)</f>
        <v>1</v>
      </c>
      <c r="H11" s="59">
        <f>G11*基本情報!$D$10</f>
        <v>7.5</v>
      </c>
      <c r="I11" s="60">
        <f>スケジュール!$G$104-SUMIF(Tabelle1[日付],"&lt; " &amp; '【レポート】月別　労働時間・日数'!C11,Tabelle1[労働時間])-SUMIF(Tabelle1[日付],"&gt; " &amp; '【レポート】月別　労働時間・日数'!D11,Tabelle1[労働時間])</f>
        <v>0</v>
      </c>
      <c r="J11" s="61">
        <f ca="1">IF(D11&lt;$K$1,I11-F11+H11,
IF(C11&lt;$K$1,
I11-
(($K$2-SUM($E$5:E10))*基本情報!$D$10)
+H11,
0))</f>
        <v>0</v>
      </c>
      <c r="K11" s="62">
        <f t="shared" ca="1" si="1"/>
        <v>0</v>
      </c>
      <c r="L11" s="63" cm="1">
        <f t="array" ref="L11">SUMPRODUCT(--(休暇管理!$B$8:$B$57 &gt; 0),--(休暇管理!$B$8:$B$57 &lt;  '【レポート】月別　労働時間・日数'!$D11),--(休暇管理!$C$8:$C$57=L$4))-
SUMPRODUCT(--(休暇管理!$B$8:$B$57 &gt; 0),--(休暇管理!$B$8:$B$57 &lt;  '【レポート】月別　労働時間・日数'!$D10),--(休暇管理!$C$8:$C$57=L$4))</f>
        <v>1</v>
      </c>
      <c r="M11" s="63" cm="1">
        <f t="array" ref="M11">SUMPRODUCT(--(休暇管理!$B$8:$B$57 &gt; 0),--(休暇管理!$B$8:$B$57 &lt;  '【レポート】月別　労働時間・日数'!$D11),--(休暇管理!$C$8:$C$57=M$4))-
SUMPRODUCT(--(休暇管理!$B$8:$B$57 &gt; 0),--(休暇管理!$B$8:$B$57 &lt;  '【レポート】月別　労働時間・日数'!$D10),--(休暇管理!$C$8:$C$57=M$4))</f>
        <v>0</v>
      </c>
      <c r="N11" s="64"/>
    </row>
    <row r="12" spans="2:14" x14ac:dyDescent="0.15">
      <c r="B12" s="56" t="s">
        <v>87</v>
      </c>
      <c r="C12" s="57">
        <f>DATE(基本情報!$D$8,8,1)</f>
        <v>45139</v>
      </c>
      <c r="D12" s="57">
        <f t="shared" si="0"/>
        <v>45169</v>
      </c>
      <c r="E12" s="58">
        <f>NETWORKDAYS(C12,D12,祝日・休日!$B$3:$B$40)</f>
        <v>22</v>
      </c>
      <c r="F12" s="58">
        <f>E12*基本情報!$D$10</f>
        <v>165</v>
      </c>
      <c r="G12" s="59">
        <f>休暇管理!$D$5-COUNTIF(休暇管理!$B$8:$B$57,"&lt; " &amp; '【レポート】月別　労働時間・日数'!C12)-COUNTIF(休暇管理!$B$8:$B$57,"&gt; " &amp; '【レポート】月別　労働時間・日数'!D12)</f>
        <v>0</v>
      </c>
      <c r="H12" s="59">
        <f>G12*基本情報!$D$10</f>
        <v>0</v>
      </c>
      <c r="I12" s="60">
        <f>スケジュール!$G$104-SUMIF(Tabelle1[日付],"&lt; " &amp; '【レポート】月別　労働時間・日数'!C12,Tabelle1[労働時間])-SUMIF(Tabelle1[日付],"&gt; " &amp; '【レポート】月別　労働時間・日数'!D12,Tabelle1[労働時間])</f>
        <v>0</v>
      </c>
      <c r="J12" s="61">
        <f ca="1">IF(D12&lt;$K$1,I12-F12+H12,
IF(C12&lt;$K$1,
I12-
(($K$2-SUM($E$5:E11))*基本情報!$D$10)
+H12,
0))</f>
        <v>0</v>
      </c>
      <c r="K12" s="62">
        <f t="shared" ca="1" si="1"/>
        <v>0</v>
      </c>
      <c r="L12" s="63" cm="1">
        <f t="array" ref="L12">SUMPRODUCT(--(休暇管理!$B$8:$B$57 &gt; 0),--(休暇管理!$B$8:$B$57 &lt;  '【レポート】月別　労働時間・日数'!$D12),--(休暇管理!$C$8:$C$57=L$4))-
SUMPRODUCT(--(休暇管理!$B$8:$B$57 &gt; 0),--(休暇管理!$B$8:$B$57 &lt;  '【レポート】月別　労働時間・日数'!$D11),--(休暇管理!$C$8:$C$57=L$4))</f>
        <v>0</v>
      </c>
      <c r="M12" s="63" cm="1">
        <f t="array" ref="M12">SUMPRODUCT(--(休暇管理!$B$8:$B$57 &gt; 0),--(休暇管理!$B$8:$B$57 &lt;  '【レポート】月別　労働時間・日数'!$D12),--(休暇管理!$C$8:$C$57=M$4))-
SUMPRODUCT(--(休暇管理!$B$8:$B$57 &gt; 0),--(休暇管理!$B$8:$B$57 &lt;  '【レポート】月別　労働時間・日数'!$D11),--(休暇管理!$C$8:$C$57=M$4))</f>
        <v>0</v>
      </c>
      <c r="N12" s="64"/>
    </row>
    <row r="13" spans="2:14" x14ac:dyDescent="0.15">
      <c r="B13" s="56" t="s">
        <v>88</v>
      </c>
      <c r="C13" s="57">
        <f>DATE(基本情報!$D$8,9,1)</f>
        <v>45170</v>
      </c>
      <c r="D13" s="57">
        <f t="shared" si="0"/>
        <v>45199</v>
      </c>
      <c r="E13" s="58">
        <f>NETWORKDAYS(C13,D13,祝日・休日!$B$3:$B$40)</f>
        <v>20</v>
      </c>
      <c r="F13" s="58">
        <f>E13*基本情報!$D$10</f>
        <v>150</v>
      </c>
      <c r="G13" s="59">
        <f>休暇管理!$D$5-COUNTIF(休暇管理!$B$8:$B$57,"&lt; " &amp; '【レポート】月別　労働時間・日数'!C13)-COUNTIF(休暇管理!$B$8:$B$57,"&gt; " &amp; '【レポート】月別　労働時間・日数'!D13)</f>
        <v>3</v>
      </c>
      <c r="H13" s="59">
        <f>G13*基本情報!$D$10</f>
        <v>22.5</v>
      </c>
      <c r="I13" s="60">
        <f>スケジュール!$G$104-SUMIF(Tabelle1[日付],"&lt; " &amp; '【レポート】月別　労働時間・日数'!C13,Tabelle1[労働時間])-SUMIF(Tabelle1[日付],"&gt; " &amp; '【レポート】月別　労働時間・日数'!D13,Tabelle1[労働時間])</f>
        <v>0</v>
      </c>
      <c r="J13" s="61">
        <f ca="1">IF(D13&lt;$K$1,I13-F13+H13,
IF(C13&lt;$K$1,
I13-
(($K$2-SUM($E$5:E12))*基本情報!$D$10)
+H13,
0))</f>
        <v>0</v>
      </c>
      <c r="K13" s="62">
        <f t="shared" ca="1" si="1"/>
        <v>0</v>
      </c>
      <c r="L13" s="63" cm="1">
        <f t="array" ref="L13">SUMPRODUCT(--(休暇管理!$B$8:$B$57 &gt; 0),--(休暇管理!$B$8:$B$57 &lt;  '【レポート】月別　労働時間・日数'!$D13),--(休暇管理!$C$8:$C$57=L$4))-
SUMPRODUCT(--(休暇管理!$B$8:$B$57 &gt; 0),--(休暇管理!$B$8:$B$57 &lt;  '【レポート】月別　労働時間・日数'!$D12),--(休暇管理!$C$8:$C$57=L$4))</f>
        <v>0</v>
      </c>
      <c r="M13" s="63" cm="1">
        <f t="array" ref="M13">SUMPRODUCT(--(休暇管理!$B$8:$B$57 &gt; 0),--(休暇管理!$B$8:$B$57 &lt;  '【レポート】月別　労働時間・日数'!$D13),--(休暇管理!$C$8:$C$57=M$4))-
SUMPRODUCT(--(休暇管理!$B$8:$B$57 &gt; 0),--(休暇管理!$B$8:$B$57 &lt;  '【レポート】月別　労働時間・日数'!$D12),--(休暇管理!$C$8:$C$57=M$4))</f>
        <v>3</v>
      </c>
      <c r="N13" s="64"/>
    </row>
    <row r="14" spans="2:14" x14ac:dyDescent="0.15">
      <c r="B14" s="56" t="s">
        <v>89</v>
      </c>
      <c r="C14" s="57">
        <f>DATE(基本情報!$D$8,10,1)</f>
        <v>45200</v>
      </c>
      <c r="D14" s="57">
        <f t="shared" si="0"/>
        <v>45230</v>
      </c>
      <c r="E14" s="58">
        <f>NETWORKDAYS(C14,D14,祝日・休日!$B$3:$B$40)</f>
        <v>21</v>
      </c>
      <c r="F14" s="58">
        <f>E14*基本情報!$D$10</f>
        <v>157.5</v>
      </c>
      <c r="G14" s="59">
        <f>休暇管理!$D$5-COUNTIF(休暇管理!$B$8:$B$57,"&lt; " &amp; '【レポート】月別　労働時間・日数'!C14)-COUNTIF(休暇管理!$B$8:$B$57,"&gt; " &amp; '【レポート】月別　労働時間・日数'!D14)</f>
        <v>0</v>
      </c>
      <c r="H14" s="59">
        <f>G14*基本情報!$D$10</f>
        <v>0</v>
      </c>
      <c r="I14" s="60">
        <f>スケジュール!$G$104-SUMIF(Tabelle1[日付],"&lt; " &amp; '【レポート】月別　労働時間・日数'!C14,Tabelle1[労働時間])-SUMIF(Tabelle1[日付],"&gt; " &amp; '【レポート】月別　労働時間・日数'!D14,Tabelle1[労働時間])</f>
        <v>0</v>
      </c>
      <c r="J14" s="61">
        <f ca="1">IF(D14&lt;$K$1,I14-F14+H14,
IF(C14&lt;$K$1,
I14-
(($K$2-SUM($E$5:E13))*基本情報!$D$10)
+H14,
0))</f>
        <v>0</v>
      </c>
      <c r="K14" s="62">
        <f t="shared" ca="1" si="1"/>
        <v>0</v>
      </c>
      <c r="L14" s="63" cm="1">
        <f t="array" ref="L14">SUMPRODUCT(--(休暇管理!$B$8:$B$57 &gt; 0),--(休暇管理!$B$8:$B$57 &lt;  '【レポート】月別　労働時間・日数'!$D14),--(休暇管理!$C$8:$C$57=L$4))-
SUMPRODUCT(--(休暇管理!$B$8:$B$57 &gt; 0),--(休暇管理!$B$8:$B$57 &lt;  '【レポート】月別　労働時間・日数'!$D13),--(休暇管理!$C$8:$C$57=L$4))</f>
        <v>0</v>
      </c>
      <c r="M14" s="63" cm="1">
        <f t="array" ref="M14">SUMPRODUCT(--(休暇管理!$B$8:$B$57 &gt; 0),--(休暇管理!$B$8:$B$57 &lt;  '【レポート】月別　労働時間・日数'!$D14),--(休暇管理!$C$8:$C$57=M$4))-
SUMPRODUCT(--(休暇管理!$B$8:$B$57 &gt; 0),--(休暇管理!$B$8:$B$57 &lt;  '【レポート】月別　労働時間・日数'!$D13),--(休暇管理!$C$8:$C$57=M$4))</f>
        <v>0</v>
      </c>
      <c r="N14" s="64"/>
    </row>
    <row r="15" spans="2:14" x14ac:dyDescent="0.15">
      <c r="B15" s="56" t="s">
        <v>90</v>
      </c>
      <c r="C15" s="57">
        <f>DATE(基本情報!$D$8,11,1)</f>
        <v>45231</v>
      </c>
      <c r="D15" s="57">
        <f t="shared" si="0"/>
        <v>45260</v>
      </c>
      <c r="E15" s="58">
        <f>NETWORKDAYS(C15,D15,祝日・休日!$B$3:$B$40)</f>
        <v>20</v>
      </c>
      <c r="F15" s="58">
        <f>E15*基本情報!$D$10</f>
        <v>150</v>
      </c>
      <c r="G15" s="59">
        <f>休暇管理!$D$5-COUNTIF(休暇管理!$B$8:$B$57,"&lt; " &amp; '【レポート】月別　労働時間・日数'!C15)-COUNTIF(休暇管理!$B$8:$B$57,"&gt; " &amp; '【レポート】月別　労働時間・日数'!D15)</f>
        <v>0</v>
      </c>
      <c r="H15" s="59">
        <f>G15*基本情報!$D$10</f>
        <v>0</v>
      </c>
      <c r="I15" s="60">
        <f>スケジュール!$G$104-SUMIF(Tabelle1[日付],"&lt; " &amp; '【レポート】月別　労働時間・日数'!C15,Tabelle1[労働時間])-SUMIF(Tabelle1[日付],"&gt; " &amp; '【レポート】月別　労働時間・日数'!D15,Tabelle1[労働時間])</f>
        <v>0</v>
      </c>
      <c r="J15" s="61">
        <f ca="1">IF(D15&lt;$K$1,I15-F15+H15,
IF(C15&lt;$K$1,
I15-
(($K$2-SUM($E$5:E14))*基本情報!$D$10)
+H15,
0))</f>
        <v>0</v>
      </c>
      <c r="K15" s="62">
        <f t="shared" ca="1" si="1"/>
        <v>0</v>
      </c>
      <c r="L15" s="63" cm="1">
        <f t="array" ref="L15">SUMPRODUCT(--(休暇管理!$B$8:$B$57 &gt; 0),--(休暇管理!$B$8:$B$57 &lt;  '【レポート】月別　労働時間・日数'!$D15),--(休暇管理!$C$8:$C$57=L$4))-
SUMPRODUCT(--(休暇管理!$B$8:$B$57 &gt; 0),--(休暇管理!$B$8:$B$57 &lt;  '【レポート】月別　労働時間・日数'!$D14),--(休暇管理!$C$8:$C$57=L$4))</f>
        <v>0</v>
      </c>
      <c r="M15" s="63" cm="1">
        <f t="array" ref="M15">SUMPRODUCT(--(休暇管理!$B$8:$B$57 &gt; 0),--(休暇管理!$B$8:$B$57 &lt;  '【レポート】月別　労働時間・日数'!$D15),--(休暇管理!$C$8:$C$57=M$4))-
SUMPRODUCT(--(休暇管理!$B$8:$B$57 &gt; 0),--(休暇管理!$B$8:$B$57 &lt;  '【レポート】月別　労働時間・日数'!$D14),--(休暇管理!$C$8:$C$57=M$4))</f>
        <v>0</v>
      </c>
      <c r="N15" s="64"/>
    </row>
    <row r="16" spans="2:14" x14ac:dyDescent="0.15">
      <c r="B16" s="56" t="s">
        <v>91</v>
      </c>
      <c r="C16" s="57">
        <f>DATE(基本情報!$D$8,12,1)</f>
        <v>45261</v>
      </c>
      <c r="D16" s="57">
        <f>DATE(基本情報!$D$8+1,1,1)-1</f>
        <v>45291</v>
      </c>
      <c r="E16" s="58">
        <f>NETWORKDAYS(C16,D16,祝日・休日!$B$3:$B$40)</f>
        <v>21</v>
      </c>
      <c r="F16" s="58">
        <f>E16*基本情報!$D$10</f>
        <v>157.5</v>
      </c>
      <c r="G16" s="59">
        <f>休暇管理!$D$5-COUNTIF(休暇管理!$B$8:$B$57,"&lt; " &amp; '【レポート】月別　労働時間・日数'!C16)-COUNTIF(休暇管理!$B$8:$B$57,"&gt; " &amp; '【レポート】月別　労働時間・日数'!D16)</f>
        <v>0</v>
      </c>
      <c r="H16" s="59">
        <f>G16*基本情報!$D$10</f>
        <v>0</v>
      </c>
      <c r="I16" s="60">
        <f>スケジュール!$G$104-SUMIF(Tabelle1[日付],"&lt; " &amp; '【レポート】月別　労働時間・日数'!C16,Tabelle1[労働時間])-SUMIF(Tabelle1[日付],"&gt; " &amp; '【レポート】月別　労働時間・日数'!D16,Tabelle1[労働時間])</f>
        <v>0</v>
      </c>
      <c r="J16" s="61">
        <f ca="1">IF(D16&lt;$K$1,I16-F16+H16,
IF(C16&lt;$K$1,
I16-
(($K$2-SUM($E$5:E15))*基本情報!$D$10)
+H16,
0))</f>
        <v>0</v>
      </c>
      <c r="K16" s="62">
        <f t="shared" ca="1" si="1"/>
        <v>0</v>
      </c>
      <c r="L16" s="63" cm="1">
        <f t="array" ref="L16">SUMPRODUCT(--(休暇管理!$B$8:$B$57 &gt; 0),--(休暇管理!$B$8:$B$57 &lt;  '【レポート】月別　労働時間・日数'!$D16),--(休暇管理!$C$8:$C$57=L$4))-
SUMPRODUCT(--(休暇管理!$B$8:$B$57 &gt; 0),--(休暇管理!$B$8:$B$57 &lt;  '【レポート】月別　労働時間・日数'!$D15),--(休暇管理!$C$8:$C$57=L$4))</f>
        <v>0</v>
      </c>
      <c r="M16" s="63" cm="1">
        <f t="array" ref="M16">SUMPRODUCT(--(休暇管理!$B$8:$B$57 &gt; 0),--(休暇管理!$B$8:$B$57 &lt;  '【レポート】月別　労働時間・日数'!$D16),--(休暇管理!$C$8:$C$57=M$4))-
SUMPRODUCT(--(休暇管理!$B$8:$B$57 &gt; 0),--(休暇管理!$B$8:$B$57 &lt;  '【レポート】月別　労働時間・日数'!$D15),--(休暇管理!$C$8:$C$57=M$4))</f>
        <v>0</v>
      </c>
      <c r="N16" s="64"/>
    </row>
    <row r="17" spans="2:14" ht="7.25" customHeight="1" x14ac:dyDescent="0.15">
      <c r="C17" s="57"/>
      <c r="D17" s="58"/>
      <c r="E17" s="58"/>
      <c r="F17" s="58"/>
      <c r="G17" s="59"/>
      <c r="H17" s="59"/>
      <c r="I17" s="60"/>
      <c r="J17" s="60"/>
      <c r="K17" s="61">
        <f t="shared" ca="1" si="1"/>
        <v>0</v>
      </c>
      <c r="L17" s="65"/>
      <c r="M17" s="65"/>
      <c r="N17" s="64"/>
    </row>
    <row r="18" spans="2:14" x14ac:dyDescent="0.15">
      <c r="B18" s="66" t="s">
        <v>92</v>
      </c>
      <c r="C18" s="67"/>
      <c r="D18" s="67"/>
      <c r="E18" s="67">
        <f>SUM(E5:E16)</f>
        <v>247</v>
      </c>
      <c r="F18" s="67">
        <f>SUM(F5:F16)</f>
        <v>1852.5</v>
      </c>
      <c r="G18" s="67">
        <f>SUM(G5:G16)</f>
        <v>14</v>
      </c>
      <c r="H18" s="67">
        <f>SUM(H5:H16)</f>
        <v>105</v>
      </c>
      <c r="I18" s="68">
        <f>SUM(I5:I16)</f>
        <v>75</v>
      </c>
      <c r="J18" s="69">
        <f ca="1">SUM(J5:J17)</f>
        <v>-697.5</v>
      </c>
      <c r="K18" s="69"/>
      <c r="L18" s="69">
        <f>SUM(L5:L17)</f>
        <v>3</v>
      </c>
      <c r="M18" s="69">
        <f>SUM(M5:M17)</f>
        <v>11</v>
      </c>
      <c r="N18" s="70" t="str">
        <f>"残日数 "&amp;基本情報!$D$9-M18&amp;"日"</f>
        <v>残日数 9日</v>
      </c>
    </row>
  </sheetData>
  <phoneticPr fontId="3" type="noConversion"/>
  <pageMargins left="0.70866141732283472" right="0.70866141732283472" top="0.78740157480314965" bottom="0.78740157480314965" header="0.31496062992125984" footer="0.31496062992125984"/>
  <pageSetup paperSize="9" scale="67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C3BC6-A4B0-46D8-A1F8-671F3CA68A66}">
  <dimension ref="A1:N41"/>
  <sheetViews>
    <sheetView showGridLines="0" topLeftCell="B1" zoomScaleNormal="100" workbookViewId="0">
      <selection activeCell="R11" sqref="R11"/>
    </sheetView>
  </sheetViews>
  <sheetFormatPr baseColWidth="10" defaultColWidth="11.5" defaultRowHeight="19" x14ac:dyDescent="0.25"/>
  <cols>
    <col min="1" max="1" width="22.5" style="76" customWidth="1"/>
    <col min="2" max="16384" width="11.5" style="76"/>
  </cols>
  <sheetData>
    <row r="1" spans="1:14" ht="17.5" customHeight="1" x14ac:dyDescent="0.25"/>
    <row r="2" spans="1:14" ht="17.5" customHeight="1" x14ac:dyDescent="0.25">
      <c r="B2" s="77">
        <v>1</v>
      </c>
      <c r="C2" s="77">
        <v>2</v>
      </c>
      <c r="D2" s="77">
        <v>3</v>
      </c>
      <c r="E2" s="77">
        <v>4</v>
      </c>
      <c r="F2" s="77">
        <v>5</v>
      </c>
      <c r="G2" s="77">
        <v>6</v>
      </c>
      <c r="H2" s="77">
        <v>7</v>
      </c>
      <c r="I2" s="77">
        <v>8</v>
      </c>
      <c r="J2" s="77">
        <v>9</v>
      </c>
      <c r="K2" s="77">
        <v>10</v>
      </c>
      <c r="L2" s="77">
        <v>11</v>
      </c>
      <c r="M2" s="77">
        <v>12</v>
      </c>
    </row>
    <row r="3" spans="1:14" ht="17.5" customHeight="1" x14ac:dyDescent="0.25">
      <c r="A3" s="73" t="str">
        <f>基本情報!B18</f>
        <v>項目</v>
      </c>
      <c r="B3" s="74" t="s">
        <v>80</v>
      </c>
      <c r="C3" s="74" t="s">
        <v>81</v>
      </c>
      <c r="D3" s="74" t="s">
        <v>82</v>
      </c>
      <c r="E3" s="74" t="s">
        <v>83</v>
      </c>
      <c r="F3" s="74" t="s">
        <v>84</v>
      </c>
      <c r="G3" s="74" t="s">
        <v>85</v>
      </c>
      <c r="H3" s="74" t="s">
        <v>86</v>
      </c>
      <c r="I3" s="74" t="s">
        <v>87</v>
      </c>
      <c r="J3" s="74" t="s">
        <v>88</v>
      </c>
      <c r="K3" s="74" t="s">
        <v>89</v>
      </c>
      <c r="L3" s="74" t="s">
        <v>90</v>
      </c>
      <c r="M3" s="74" t="s">
        <v>91</v>
      </c>
      <c r="N3" s="73" t="s">
        <v>92</v>
      </c>
    </row>
    <row r="4" spans="1:14" ht="17.5" customHeight="1" x14ac:dyDescent="0.25">
      <c r="A4" s="75" t="str">
        <f ca="1">OFFSET(基本情報!B18,1,0)</f>
        <v>内部</v>
      </c>
      <c r="B4" s="95">
        <f ca="1">SUMIFS(スケジュール!$G$8:$G$103,スケジュール!$P$8:$P$103,B$2,スケジュール!$J$8:$J$103,'【レポート】項目別　労働時間'!$A4)</f>
        <v>0</v>
      </c>
      <c r="C4" s="95">
        <f ca="1">SUMIFS(スケジュール!$G$8:$G$103,スケジュール!$P$8:$P$103,C$2,スケジュール!$J$8:$J$103,'【レポート】項目別　労働時間'!$A4)</f>
        <v>0</v>
      </c>
      <c r="D4" s="95">
        <f ca="1">SUMIFS(スケジュール!$G$8:$G$103,スケジュール!$P$8:$P$103,D$2,スケジュール!$J$8:$J$103,'【レポート】項目別　労働時間'!$A4)</f>
        <v>0</v>
      </c>
      <c r="E4" s="95">
        <f ca="1">SUMIFS(スケジュール!$G$8:$G$103,スケジュール!$P$8:$P$103,E$2,スケジュール!$J$8:$J$103,'【レポート】項目別　労働時間'!$A4)</f>
        <v>0</v>
      </c>
      <c r="F4" s="95">
        <f ca="1">SUMIFS(スケジュール!$G$8:$G$103,スケジュール!$P$8:$P$103,F$2,スケジュール!$J$8:$J$103,'【レポート】項目別　労働時間'!$A4)</f>
        <v>0</v>
      </c>
      <c r="G4" s="95">
        <f ca="1">SUMIFS(スケジュール!$G$8:$G$103,スケジュール!$P$8:$P$103,G$2,スケジュール!$J$8:$J$103,'【レポート】項目別　労働時間'!$A4)</f>
        <v>0</v>
      </c>
      <c r="H4" s="95">
        <f ca="1">SUMIFS(スケジュール!$G$8:$G$103,スケジュール!$P$8:$P$103,H$2,スケジュール!$J$8:$J$103,'【レポート】項目別　労働時間'!$A4)</f>
        <v>0</v>
      </c>
      <c r="I4" s="95">
        <f ca="1">SUMIFS(スケジュール!$G$8:$G$103,スケジュール!$P$8:$P$103,I$2,スケジュール!$J$8:$J$103,'【レポート】項目別　労働時間'!$A4)</f>
        <v>0</v>
      </c>
      <c r="J4" s="95">
        <f ca="1">SUMIFS(スケジュール!$G$8:$G$103,スケジュール!$P$8:$P$103,J$2,スケジュール!$J$8:$J$103,'【レポート】項目別　労働時間'!$A4)</f>
        <v>0</v>
      </c>
      <c r="K4" s="95">
        <f ca="1">SUMIFS(スケジュール!$G$8:$G$103,スケジュール!$P$8:$P$103,K$2,スケジュール!$J$8:$J$103,'【レポート】項目別　労働時間'!$A4)</f>
        <v>0</v>
      </c>
      <c r="L4" s="95">
        <f ca="1">SUMIFS(スケジュール!$G$8:$G$103,スケジュール!$P$8:$P$103,L$2,スケジュール!$J$8:$J$103,'【レポート】項目別　労働時間'!$A4)</f>
        <v>0</v>
      </c>
      <c r="M4" s="95">
        <f ca="1">SUMIFS(スケジュール!$G$8:$G$103,スケジュール!$P$8:$P$103,M$2,スケジュール!$J$8:$J$103,'【レポート】項目別　労働時間'!$A4)</f>
        <v>0</v>
      </c>
      <c r="N4" s="96">
        <f ca="1">SUM(B4:M4)</f>
        <v>0</v>
      </c>
    </row>
    <row r="5" spans="1:14" ht="17.5" customHeight="1" x14ac:dyDescent="0.25">
      <c r="A5" s="75" t="str">
        <f ca="1">OFFSET(基本情報!B19,1,0)</f>
        <v>営業</v>
      </c>
      <c r="B5" s="95">
        <f ca="1">SUMIFS(スケジュール!$G$8:$G$103,スケジュール!$P$8:$P$103,B$2,スケジュール!$J$8:$J$103,'【レポート】項目別　労働時間'!$A5)</f>
        <v>0</v>
      </c>
      <c r="C5" s="95">
        <f ca="1">SUMIFS(スケジュール!$G$8:$G$103,スケジュール!$P$8:$P$103,C$2,スケジュール!$J$8:$J$103,'【レポート】項目別　労働時間'!$A5)</f>
        <v>0</v>
      </c>
      <c r="D5" s="95">
        <f ca="1">SUMIFS(スケジュール!$G$8:$G$103,スケジュール!$P$8:$P$103,D$2,スケジュール!$J$8:$J$103,'【レポート】項目別　労働時間'!$A5)</f>
        <v>0</v>
      </c>
      <c r="E5" s="95">
        <f ca="1">SUMIFS(スケジュール!$G$8:$G$103,スケジュール!$P$8:$P$103,E$2,スケジュール!$J$8:$J$103,'【レポート】項目別　労働時間'!$A5)</f>
        <v>1</v>
      </c>
      <c r="F5" s="95">
        <f ca="1">SUMIFS(スケジュール!$G$8:$G$103,スケジュール!$P$8:$P$103,F$2,スケジュール!$J$8:$J$103,'【レポート】項目別　労働時間'!$A5)</f>
        <v>0</v>
      </c>
      <c r="G5" s="95">
        <f ca="1">SUMIFS(スケジュール!$G$8:$G$103,スケジュール!$P$8:$P$103,G$2,スケジュール!$J$8:$J$103,'【レポート】項目別　労働時間'!$A5)</f>
        <v>0</v>
      </c>
      <c r="H5" s="95">
        <f ca="1">SUMIFS(スケジュール!$G$8:$G$103,スケジュール!$P$8:$P$103,H$2,スケジュール!$J$8:$J$103,'【レポート】項目別　労働時間'!$A5)</f>
        <v>0</v>
      </c>
      <c r="I5" s="95">
        <f ca="1">SUMIFS(スケジュール!$G$8:$G$103,スケジュール!$P$8:$P$103,I$2,スケジュール!$J$8:$J$103,'【レポート】項目別　労働時間'!$A5)</f>
        <v>0</v>
      </c>
      <c r="J5" s="95">
        <f ca="1">SUMIFS(スケジュール!$G$8:$G$103,スケジュール!$P$8:$P$103,J$2,スケジュール!$J$8:$J$103,'【レポート】項目別　労働時間'!$A5)</f>
        <v>0</v>
      </c>
      <c r="K5" s="95">
        <f ca="1">SUMIFS(スケジュール!$G$8:$G$103,スケジュール!$P$8:$P$103,K$2,スケジュール!$J$8:$J$103,'【レポート】項目別　労働時間'!$A5)</f>
        <v>0</v>
      </c>
      <c r="L5" s="95">
        <f ca="1">SUMIFS(スケジュール!$G$8:$G$103,スケジュール!$P$8:$P$103,L$2,スケジュール!$J$8:$J$103,'【レポート】項目別　労働時間'!$A5)</f>
        <v>0</v>
      </c>
      <c r="M5" s="95">
        <f ca="1">SUMIFS(スケジュール!$G$8:$G$103,スケジュール!$P$8:$P$103,M$2,スケジュール!$J$8:$J$103,'【レポート】項目別　労働時間'!$A5)</f>
        <v>0</v>
      </c>
      <c r="N5" s="96">
        <f t="shared" ref="N5:N11" ca="1" si="0">SUM(B5:M5)</f>
        <v>1</v>
      </c>
    </row>
    <row r="6" spans="1:14" ht="17.5" customHeight="1" x14ac:dyDescent="0.25">
      <c r="A6" s="75" t="str">
        <f ca="1">OFFSET(基本情報!B20,1,0)</f>
        <v>連携</v>
      </c>
      <c r="B6" s="95">
        <f ca="1">SUMIFS(スケジュール!$G$8:$G$103,スケジュール!$P$8:$P$103,B$2,スケジュール!$J$8:$J$103,'【レポート】項目別　労働時間'!$A6)</f>
        <v>0</v>
      </c>
      <c r="C6" s="95">
        <f ca="1">SUMIFS(スケジュール!$G$8:$G$103,スケジュール!$P$8:$P$103,C$2,スケジュール!$J$8:$J$103,'【レポート】項目別　労働時間'!$A6)</f>
        <v>0</v>
      </c>
      <c r="D6" s="95">
        <f ca="1">SUMIFS(スケジュール!$G$8:$G$103,スケジュール!$P$8:$P$103,D$2,スケジュール!$J$8:$J$103,'【レポート】項目別　労働時間'!$A6)</f>
        <v>0</v>
      </c>
      <c r="E6" s="95">
        <f ca="1">SUMIFS(スケジュール!$G$8:$G$103,スケジュール!$P$8:$P$103,E$2,スケジュール!$J$8:$J$103,'【レポート】項目別　労働時間'!$A6)</f>
        <v>4</v>
      </c>
      <c r="F6" s="95">
        <f ca="1">SUMIFS(スケジュール!$G$8:$G$103,スケジュール!$P$8:$P$103,F$2,スケジュール!$J$8:$J$103,'【レポート】項目別　労働時間'!$A6)</f>
        <v>0</v>
      </c>
      <c r="G6" s="95">
        <f ca="1">SUMIFS(スケジュール!$G$8:$G$103,スケジュール!$P$8:$P$103,G$2,スケジュール!$J$8:$J$103,'【レポート】項目別　労働時間'!$A6)</f>
        <v>0</v>
      </c>
      <c r="H6" s="95">
        <f ca="1">SUMIFS(スケジュール!$G$8:$G$103,スケジュール!$P$8:$P$103,H$2,スケジュール!$J$8:$J$103,'【レポート】項目別　労働時間'!$A6)</f>
        <v>0</v>
      </c>
      <c r="I6" s="95">
        <f ca="1">SUMIFS(スケジュール!$G$8:$G$103,スケジュール!$P$8:$P$103,I$2,スケジュール!$J$8:$J$103,'【レポート】項目別　労働時間'!$A6)</f>
        <v>0</v>
      </c>
      <c r="J6" s="95">
        <f ca="1">SUMIFS(スケジュール!$G$8:$G$103,スケジュール!$P$8:$P$103,J$2,スケジュール!$J$8:$J$103,'【レポート】項目別　労働時間'!$A6)</f>
        <v>0</v>
      </c>
      <c r="K6" s="95">
        <f ca="1">SUMIFS(スケジュール!$G$8:$G$103,スケジュール!$P$8:$P$103,K$2,スケジュール!$J$8:$J$103,'【レポート】項目別　労働時間'!$A6)</f>
        <v>0</v>
      </c>
      <c r="L6" s="95">
        <f ca="1">SUMIFS(スケジュール!$G$8:$G$103,スケジュール!$P$8:$P$103,L$2,スケジュール!$J$8:$J$103,'【レポート】項目別　労働時間'!$A6)</f>
        <v>0</v>
      </c>
      <c r="M6" s="95">
        <f ca="1">SUMIFS(スケジュール!$G$8:$G$103,スケジュール!$P$8:$P$103,M$2,スケジュール!$J$8:$J$103,'【レポート】項目別　労働時間'!$A6)</f>
        <v>0</v>
      </c>
      <c r="N6" s="96">
        <f t="shared" ca="1" si="0"/>
        <v>4</v>
      </c>
    </row>
    <row r="7" spans="1:14" ht="17.5" customHeight="1" x14ac:dyDescent="0.25">
      <c r="A7" s="75" t="str">
        <f ca="1">OFFSET(基本情報!B21,1,0)</f>
        <v>プロジェクトA</v>
      </c>
      <c r="B7" s="95">
        <f ca="1">SUMIFS(スケジュール!$G$8:$G$103,スケジュール!$P$8:$P$103,B$2,スケジュール!$J$8:$J$103,'【レポート】項目別　労働時間'!$A7)</f>
        <v>0</v>
      </c>
      <c r="C7" s="95">
        <f ca="1">SUMIFS(スケジュール!$G$8:$G$103,スケジュール!$P$8:$P$103,C$2,スケジュール!$J$8:$J$103,'【レポート】項目別　労働時間'!$A7)</f>
        <v>0</v>
      </c>
      <c r="D7" s="95">
        <f ca="1">SUMIFS(スケジュール!$G$8:$G$103,スケジュール!$P$8:$P$103,D$2,スケジュール!$J$8:$J$103,'【レポート】項目別　労働時間'!$A7)</f>
        <v>0</v>
      </c>
      <c r="E7" s="95">
        <f ca="1">SUMIFS(スケジュール!$G$8:$G$103,スケジュール!$P$8:$P$103,E$2,スケジュール!$J$8:$J$103,'【レポート】項目別　労働時間'!$A7)</f>
        <v>40</v>
      </c>
      <c r="F7" s="95">
        <f ca="1">SUMIFS(スケジュール!$G$8:$G$103,スケジュール!$P$8:$P$103,F$2,スケジュール!$J$8:$J$103,'【レポート】項目別　労働時間'!$A7)</f>
        <v>16</v>
      </c>
      <c r="G7" s="95">
        <f ca="1">SUMIFS(スケジュール!$G$8:$G$103,スケジュール!$P$8:$P$103,G$2,スケジュール!$J$8:$J$103,'【レポート】項目別　労働時間'!$A7)</f>
        <v>0</v>
      </c>
      <c r="H7" s="95">
        <f ca="1">SUMIFS(スケジュール!$G$8:$G$103,スケジュール!$P$8:$P$103,H$2,スケジュール!$J$8:$J$103,'【レポート】項目別　労働時間'!$A7)</f>
        <v>0</v>
      </c>
      <c r="I7" s="95">
        <f ca="1">SUMIFS(スケジュール!$G$8:$G$103,スケジュール!$P$8:$P$103,I$2,スケジュール!$J$8:$J$103,'【レポート】項目別　労働時間'!$A7)</f>
        <v>0</v>
      </c>
      <c r="J7" s="95">
        <f ca="1">SUMIFS(スケジュール!$G$8:$G$103,スケジュール!$P$8:$P$103,J$2,スケジュール!$J$8:$J$103,'【レポート】項目別　労働時間'!$A7)</f>
        <v>0</v>
      </c>
      <c r="K7" s="95">
        <f ca="1">SUMIFS(スケジュール!$G$8:$G$103,スケジュール!$P$8:$P$103,K$2,スケジュール!$J$8:$J$103,'【レポート】項目別　労働時間'!$A7)</f>
        <v>0</v>
      </c>
      <c r="L7" s="95">
        <f ca="1">SUMIFS(スケジュール!$G$8:$G$103,スケジュール!$P$8:$P$103,L$2,スケジュール!$J$8:$J$103,'【レポート】項目別　労働時間'!$A7)</f>
        <v>0</v>
      </c>
      <c r="M7" s="95">
        <f ca="1">SUMIFS(スケジュール!$G$8:$G$103,スケジュール!$P$8:$P$103,M$2,スケジュール!$J$8:$J$103,'【レポート】項目別　労働時間'!$A7)</f>
        <v>0</v>
      </c>
      <c r="N7" s="96">
        <f t="shared" ca="1" si="0"/>
        <v>56</v>
      </c>
    </row>
    <row r="8" spans="1:14" ht="17.5" customHeight="1" x14ac:dyDescent="0.25">
      <c r="A8" s="75" t="str">
        <f ca="1">OFFSET(基本情報!B22,1,0)</f>
        <v>プロジェクトB</v>
      </c>
      <c r="B8" s="95">
        <f ca="1">SUMIFS(スケジュール!$G$8:$G$103,スケジュール!$P$8:$P$103,B$2,スケジュール!$J$8:$J$103,'【レポート】項目別　労働時間'!$A8)</f>
        <v>0</v>
      </c>
      <c r="C8" s="95">
        <f ca="1">SUMIFS(スケジュール!$G$8:$G$103,スケジュール!$P$8:$P$103,C$2,スケジュール!$J$8:$J$103,'【レポート】項目別　労働時間'!$A8)</f>
        <v>0</v>
      </c>
      <c r="D8" s="95">
        <f ca="1">SUMIFS(スケジュール!$G$8:$G$103,スケジュール!$P$8:$P$103,D$2,スケジュール!$J$8:$J$103,'【レポート】項目別　労働時間'!$A8)</f>
        <v>0</v>
      </c>
      <c r="E8" s="95">
        <f ca="1">SUMIFS(スケジュール!$G$8:$G$103,スケジュール!$P$8:$P$103,E$2,スケジュール!$J$8:$J$103,'【レポート】項目別　労働時間'!$A8)</f>
        <v>0.5</v>
      </c>
      <c r="F8" s="95">
        <f ca="1">SUMIFS(スケジュール!$G$8:$G$103,スケジュール!$P$8:$P$103,F$2,スケジュール!$J$8:$J$103,'【レポート】項目別　労働時間'!$A8)</f>
        <v>6</v>
      </c>
      <c r="G8" s="95">
        <f ca="1">SUMIFS(スケジュール!$G$8:$G$103,スケジュール!$P$8:$P$103,G$2,スケジュール!$J$8:$J$103,'【レポート】項目別　労働時間'!$A8)</f>
        <v>0</v>
      </c>
      <c r="H8" s="95">
        <f ca="1">SUMIFS(スケジュール!$G$8:$G$103,スケジュール!$P$8:$P$103,H$2,スケジュール!$J$8:$J$103,'【レポート】項目別　労働時間'!$A8)</f>
        <v>0</v>
      </c>
      <c r="I8" s="95">
        <f ca="1">SUMIFS(スケジュール!$G$8:$G$103,スケジュール!$P$8:$P$103,I$2,スケジュール!$J$8:$J$103,'【レポート】項目別　労働時間'!$A8)</f>
        <v>0</v>
      </c>
      <c r="J8" s="95">
        <f ca="1">SUMIFS(スケジュール!$G$8:$G$103,スケジュール!$P$8:$P$103,J$2,スケジュール!$J$8:$J$103,'【レポート】項目別　労働時間'!$A8)</f>
        <v>0</v>
      </c>
      <c r="K8" s="95">
        <f ca="1">SUMIFS(スケジュール!$G$8:$G$103,スケジュール!$P$8:$P$103,K$2,スケジュール!$J$8:$J$103,'【レポート】項目別　労働時間'!$A8)</f>
        <v>0</v>
      </c>
      <c r="L8" s="95">
        <f ca="1">SUMIFS(スケジュール!$G$8:$G$103,スケジュール!$P$8:$P$103,L$2,スケジュール!$J$8:$J$103,'【レポート】項目別　労働時間'!$A8)</f>
        <v>0</v>
      </c>
      <c r="M8" s="95">
        <f ca="1">SUMIFS(スケジュール!$G$8:$G$103,スケジュール!$P$8:$P$103,M$2,スケジュール!$J$8:$J$103,'【レポート】項目別　労働時間'!$A8)</f>
        <v>0</v>
      </c>
      <c r="N8" s="96">
        <f t="shared" ca="1" si="0"/>
        <v>6.5</v>
      </c>
    </row>
    <row r="9" spans="1:14" ht="17.5" customHeight="1" x14ac:dyDescent="0.25">
      <c r="A9" s="75" t="str">
        <f ca="1">OFFSET(基本情報!B23,1,0)</f>
        <v>プロジェクトG</v>
      </c>
      <c r="B9" s="95">
        <f ca="1">SUMIFS(スケジュール!$G$8:$G$103,スケジュール!$P$8:$P$103,B$2,スケジュール!$J$8:$J$103,'【レポート】項目別　労働時間'!$A9)</f>
        <v>0</v>
      </c>
      <c r="C9" s="95">
        <f ca="1">SUMIFS(スケジュール!$G$8:$G$103,スケジュール!$P$8:$P$103,C$2,スケジュール!$J$8:$J$103,'【レポート】項目別　労働時間'!$A9)</f>
        <v>0</v>
      </c>
      <c r="D9" s="95">
        <f ca="1">SUMIFS(スケジュール!$G$8:$G$103,スケジュール!$P$8:$P$103,D$2,スケジュール!$J$8:$J$103,'【レポート】項目別　労働時間'!$A9)</f>
        <v>0</v>
      </c>
      <c r="E9" s="95">
        <f ca="1">SUMIFS(スケジュール!$G$8:$G$103,スケジュール!$P$8:$P$103,E$2,スケジュール!$J$8:$J$103,'【レポート】項目別　労働時間'!$A9)</f>
        <v>0</v>
      </c>
      <c r="F9" s="95">
        <f ca="1">SUMIFS(スケジュール!$G$8:$G$103,スケジュール!$P$8:$P$103,F$2,スケジュール!$J$8:$J$103,'【レポート】項目別　労働時間'!$A9)</f>
        <v>7.5</v>
      </c>
      <c r="G9" s="95">
        <f ca="1">SUMIFS(スケジュール!$G$8:$G$103,スケジュール!$P$8:$P$103,G$2,スケジュール!$J$8:$J$103,'【レポート】項目別　労働時間'!$A9)</f>
        <v>0</v>
      </c>
      <c r="H9" s="95">
        <f ca="1">SUMIFS(スケジュール!$G$8:$G$103,スケジュール!$P$8:$P$103,H$2,スケジュール!$J$8:$J$103,'【レポート】項目別　労働時間'!$A9)</f>
        <v>0</v>
      </c>
      <c r="I9" s="95">
        <f ca="1">SUMIFS(スケジュール!$G$8:$G$103,スケジュール!$P$8:$P$103,I$2,スケジュール!$J$8:$J$103,'【レポート】項目別　労働時間'!$A9)</f>
        <v>0</v>
      </c>
      <c r="J9" s="95">
        <f ca="1">SUMIFS(スケジュール!$G$8:$G$103,スケジュール!$P$8:$P$103,J$2,スケジュール!$J$8:$J$103,'【レポート】項目別　労働時間'!$A9)</f>
        <v>0</v>
      </c>
      <c r="K9" s="95">
        <f ca="1">SUMIFS(スケジュール!$G$8:$G$103,スケジュール!$P$8:$P$103,K$2,スケジュール!$J$8:$J$103,'【レポート】項目別　労働時間'!$A9)</f>
        <v>0</v>
      </c>
      <c r="L9" s="95">
        <f ca="1">SUMIFS(スケジュール!$G$8:$G$103,スケジュール!$P$8:$P$103,L$2,スケジュール!$J$8:$J$103,'【レポート】項目別　労働時間'!$A9)</f>
        <v>0</v>
      </c>
      <c r="M9" s="95">
        <f ca="1">SUMIFS(スケジュール!$G$8:$G$103,スケジュール!$P$8:$P$103,M$2,スケジュール!$J$8:$J$103,'【レポート】項目別　労働時間'!$A9)</f>
        <v>0</v>
      </c>
      <c r="N9" s="96">
        <f t="shared" ca="1" si="0"/>
        <v>7.5</v>
      </c>
    </row>
    <row r="10" spans="1:14" ht="17.5" customHeight="1" x14ac:dyDescent="0.25">
      <c r="A10" s="75">
        <f ca="1">OFFSET(基本情報!B24,1,0)</f>
        <v>0</v>
      </c>
      <c r="B10" s="95">
        <f ca="1">SUMIFS(スケジュール!$G$8:$G$103,スケジュール!$P$8:$P$103,B$2,スケジュール!$J$8:$J$103,'【レポート】項目別　労働時間'!$A10)</f>
        <v>0</v>
      </c>
      <c r="C10" s="95">
        <f ca="1">SUMIFS(スケジュール!$G$8:$G$103,スケジュール!$P$8:$P$103,C$2,スケジュール!$J$8:$J$103,'【レポート】項目別　労働時間'!$A10)</f>
        <v>0</v>
      </c>
      <c r="D10" s="95">
        <f ca="1">SUMIFS(スケジュール!$G$8:$G$103,スケジュール!$P$8:$P$103,D$2,スケジュール!$J$8:$J$103,'【レポート】項目別　労働時間'!$A10)</f>
        <v>0</v>
      </c>
      <c r="E10" s="95">
        <f ca="1">SUMIFS(スケジュール!$G$8:$G$103,スケジュール!$P$8:$P$103,E$2,スケジュール!$J$8:$J$103,'【レポート】項目別　労働時間'!$A10)</f>
        <v>0</v>
      </c>
      <c r="F10" s="95">
        <f ca="1">SUMIFS(スケジュール!$G$8:$G$103,スケジュール!$P$8:$P$103,F$2,スケジュール!$J$8:$J$103,'【レポート】項目別　労働時間'!$A10)</f>
        <v>0</v>
      </c>
      <c r="G10" s="95">
        <f ca="1">SUMIFS(スケジュール!$G$8:$G$103,スケジュール!$P$8:$P$103,G$2,スケジュール!$J$8:$J$103,'【レポート】項目別　労働時間'!$A10)</f>
        <v>0</v>
      </c>
      <c r="H10" s="95">
        <f ca="1">SUMIFS(スケジュール!$G$8:$G$103,スケジュール!$P$8:$P$103,H$2,スケジュール!$J$8:$J$103,'【レポート】項目別　労働時間'!$A10)</f>
        <v>0</v>
      </c>
      <c r="I10" s="95">
        <f ca="1">SUMIFS(スケジュール!$G$8:$G$103,スケジュール!$P$8:$P$103,I$2,スケジュール!$J$8:$J$103,'【レポート】項目別　労働時間'!$A10)</f>
        <v>0</v>
      </c>
      <c r="J10" s="95">
        <f ca="1">SUMIFS(スケジュール!$G$8:$G$103,スケジュール!$P$8:$P$103,J$2,スケジュール!$J$8:$J$103,'【レポート】項目別　労働時間'!$A10)</f>
        <v>0</v>
      </c>
      <c r="K10" s="95">
        <f ca="1">SUMIFS(スケジュール!$G$8:$G$103,スケジュール!$P$8:$P$103,K$2,スケジュール!$J$8:$J$103,'【レポート】項目別　労働時間'!$A10)</f>
        <v>0</v>
      </c>
      <c r="L10" s="95">
        <f ca="1">SUMIFS(スケジュール!$G$8:$G$103,スケジュール!$P$8:$P$103,L$2,スケジュール!$J$8:$J$103,'【レポート】項目別　労働時間'!$A10)</f>
        <v>0</v>
      </c>
      <c r="M10" s="95">
        <f ca="1">SUMIFS(スケジュール!$G$8:$G$103,スケジュール!$P$8:$P$103,M$2,スケジュール!$J$8:$J$103,'【レポート】項目別　労働時間'!$A10)</f>
        <v>0</v>
      </c>
      <c r="N10" s="96">
        <f t="shared" ca="1" si="0"/>
        <v>0</v>
      </c>
    </row>
    <row r="11" spans="1:14" ht="17.5" customHeight="1" x14ac:dyDescent="0.25">
      <c r="A11" s="75">
        <f ca="1">OFFSET(基本情報!B25,1,0)</f>
        <v>0</v>
      </c>
      <c r="B11" s="95">
        <f ca="1">SUMIFS(スケジュール!$G$8:$G$103,スケジュール!$P$8:$P$103,B$2,スケジュール!$J$8:$J$103,'【レポート】項目別　労働時間'!$A11)</f>
        <v>0</v>
      </c>
      <c r="C11" s="95">
        <f ca="1">SUMIFS(スケジュール!$G$8:$G$103,スケジュール!$P$8:$P$103,C$2,スケジュール!$J$8:$J$103,'【レポート】項目別　労働時間'!$A11)</f>
        <v>0</v>
      </c>
      <c r="D11" s="95">
        <f ca="1">SUMIFS(スケジュール!$G$8:$G$103,スケジュール!$P$8:$P$103,D$2,スケジュール!$J$8:$J$103,'【レポート】項目別　労働時間'!$A11)</f>
        <v>0</v>
      </c>
      <c r="E11" s="95">
        <f ca="1">SUMIFS(スケジュール!$G$8:$G$103,スケジュール!$P$8:$P$103,E$2,スケジュール!$J$8:$J$103,'【レポート】項目別　労働時間'!$A11)</f>
        <v>0</v>
      </c>
      <c r="F11" s="95">
        <f ca="1">SUMIFS(スケジュール!$G$8:$G$103,スケジュール!$P$8:$P$103,F$2,スケジュール!$J$8:$J$103,'【レポート】項目別　労働時間'!$A11)</f>
        <v>0</v>
      </c>
      <c r="G11" s="95">
        <f ca="1">SUMIFS(スケジュール!$G$8:$G$103,スケジュール!$P$8:$P$103,G$2,スケジュール!$J$8:$J$103,'【レポート】項目別　労働時間'!$A11)</f>
        <v>0</v>
      </c>
      <c r="H11" s="95">
        <f ca="1">SUMIFS(スケジュール!$G$8:$G$103,スケジュール!$P$8:$P$103,H$2,スケジュール!$J$8:$J$103,'【レポート】項目別　労働時間'!$A11)</f>
        <v>0</v>
      </c>
      <c r="I11" s="95">
        <f ca="1">SUMIFS(スケジュール!$G$8:$G$103,スケジュール!$P$8:$P$103,I$2,スケジュール!$J$8:$J$103,'【レポート】項目別　労働時間'!$A11)</f>
        <v>0</v>
      </c>
      <c r="J11" s="95">
        <f ca="1">SUMIFS(スケジュール!$G$8:$G$103,スケジュール!$P$8:$P$103,J$2,スケジュール!$J$8:$J$103,'【レポート】項目別　労働時間'!$A11)</f>
        <v>0</v>
      </c>
      <c r="K11" s="95">
        <f ca="1">SUMIFS(スケジュール!$G$8:$G$103,スケジュール!$P$8:$P$103,K$2,スケジュール!$J$8:$J$103,'【レポート】項目別　労働時間'!$A11)</f>
        <v>0</v>
      </c>
      <c r="L11" s="95">
        <f ca="1">SUMIFS(スケジュール!$G$8:$G$103,スケジュール!$P$8:$P$103,L$2,スケジュール!$J$8:$J$103,'【レポート】項目別　労働時間'!$A11)</f>
        <v>0</v>
      </c>
      <c r="M11" s="95">
        <f ca="1">SUMIFS(スケジュール!$G$8:$G$103,スケジュール!$P$8:$P$103,M$2,スケジュール!$J$8:$J$103,'【レポート】項目別　労働時間'!$A11)</f>
        <v>0</v>
      </c>
      <c r="N11" s="96">
        <f t="shared" ca="1" si="0"/>
        <v>0</v>
      </c>
    </row>
    <row r="12" spans="1:14" ht="17.5" customHeight="1" x14ac:dyDescent="0.25">
      <c r="A12" s="73" t="s">
        <v>92</v>
      </c>
      <c r="B12" s="97">
        <f ca="1">SUM(B4:B11)</f>
        <v>0</v>
      </c>
      <c r="C12" s="97">
        <f t="shared" ref="C12:N12" ca="1" si="1">SUM(C4:C11)</f>
        <v>0</v>
      </c>
      <c r="D12" s="97">
        <f t="shared" ca="1" si="1"/>
        <v>0</v>
      </c>
      <c r="E12" s="97">
        <f t="shared" ca="1" si="1"/>
        <v>45.5</v>
      </c>
      <c r="F12" s="97">
        <f t="shared" ca="1" si="1"/>
        <v>29.5</v>
      </c>
      <c r="G12" s="97">
        <f t="shared" ca="1" si="1"/>
        <v>0</v>
      </c>
      <c r="H12" s="97">
        <f t="shared" ca="1" si="1"/>
        <v>0</v>
      </c>
      <c r="I12" s="97">
        <f t="shared" ca="1" si="1"/>
        <v>0</v>
      </c>
      <c r="J12" s="97">
        <f t="shared" ca="1" si="1"/>
        <v>0</v>
      </c>
      <c r="K12" s="97">
        <f t="shared" ca="1" si="1"/>
        <v>0</v>
      </c>
      <c r="L12" s="97">
        <f t="shared" ca="1" si="1"/>
        <v>0</v>
      </c>
      <c r="M12" s="97">
        <f t="shared" ca="1" si="1"/>
        <v>0</v>
      </c>
      <c r="N12" s="97">
        <f t="shared" ca="1" si="1"/>
        <v>75</v>
      </c>
    </row>
    <row r="13" spans="1:14" ht="17.5" customHeight="1" x14ac:dyDescent="0.25">
      <c r="A13" s="71"/>
      <c r="B13" s="71"/>
      <c r="C13" s="71"/>
      <c r="D13" s="71"/>
      <c r="E13" s="71"/>
      <c r="F13" s="71"/>
      <c r="G13" s="71"/>
      <c r="H13" s="71"/>
      <c r="I13" s="71"/>
      <c r="J13" s="71"/>
      <c r="K13" s="71"/>
      <c r="L13" s="71"/>
      <c r="M13" s="71"/>
      <c r="N13" s="71"/>
    </row>
    <row r="14" spans="1:14" ht="17.5" customHeight="1" x14ac:dyDescent="0.25"/>
    <row r="15" spans="1:14" ht="17.5" customHeight="1" x14ac:dyDescent="0.25"/>
    <row r="16" spans="1:14" ht="17.5" customHeight="1" x14ac:dyDescent="0.25"/>
    <row r="17" ht="17.5" customHeight="1" x14ac:dyDescent="0.25"/>
    <row r="18" ht="17.5" customHeight="1" x14ac:dyDescent="0.25"/>
    <row r="19" ht="17.5" customHeight="1" x14ac:dyDescent="0.25"/>
    <row r="20" ht="17.5" customHeight="1" x14ac:dyDescent="0.25"/>
    <row r="21" ht="17.5" customHeight="1" x14ac:dyDescent="0.25"/>
    <row r="22" ht="17.5" customHeight="1" x14ac:dyDescent="0.25"/>
    <row r="23" ht="17.5" customHeight="1" x14ac:dyDescent="0.25"/>
    <row r="24" ht="17.5" customHeight="1" x14ac:dyDescent="0.25"/>
    <row r="25" ht="17.5" customHeight="1" x14ac:dyDescent="0.25"/>
    <row r="26" ht="17.5" customHeight="1" x14ac:dyDescent="0.25"/>
    <row r="27" ht="17.5" customHeight="1" x14ac:dyDescent="0.25"/>
    <row r="28" ht="17.5" customHeight="1" x14ac:dyDescent="0.25"/>
    <row r="29" ht="17.5" customHeight="1" x14ac:dyDescent="0.25"/>
    <row r="30" ht="17.5" customHeight="1" x14ac:dyDescent="0.25"/>
    <row r="31" ht="17.5" customHeight="1" x14ac:dyDescent="0.25"/>
    <row r="32" ht="17.5" customHeight="1" x14ac:dyDescent="0.25"/>
    <row r="33" ht="17.5" customHeight="1" x14ac:dyDescent="0.25"/>
    <row r="34" ht="17.5" customHeight="1" x14ac:dyDescent="0.25"/>
    <row r="35" ht="17.5" customHeight="1" x14ac:dyDescent="0.25"/>
    <row r="36" ht="17.5" customHeight="1" x14ac:dyDescent="0.25"/>
    <row r="37" ht="17.5" customHeight="1" x14ac:dyDescent="0.25"/>
    <row r="38" ht="17.5" customHeight="1" x14ac:dyDescent="0.25"/>
    <row r="39" ht="17.5" customHeight="1" x14ac:dyDescent="0.25"/>
    <row r="40" ht="17.5" customHeight="1" x14ac:dyDescent="0.25"/>
    <row r="41" ht="17.5" customHeight="1" x14ac:dyDescent="0.25"/>
  </sheetData>
  <phoneticPr fontId="3" type="noConversion"/>
  <pageMargins left="0.70866141732283472" right="0.70866141732283472" top="0.78740157480314965" bottom="0.78740157480314965" header="0.31496062992125984" footer="0.31496062992125984"/>
  <pageSetup paperSize="9" scale="54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B247EF-E9C8-48EB-AB75-E088A8123529}">
  <sheetPr>
    <pageSetUpPr fitToPage="1"/>
  </sheetPr>
  <dimension ref="A1:N12"/>
  <sheetViews>
    <sheetView showGridLines="0" topLeftCell="D1" zoomScaleNormal="70" workbookViewId="0">
      <selection activeCell="P20" sqref="P20"/>
    </sheetView>
  </sheetViews>
  <sheetFormatPr baseColWidth="10" defaultColWidth="11.5" defaultRowHeight="15" x14ac:dyDescent="0.25"/>
  <cols>
    <col min="1" max="1" width="16.33203125" style="71" customWidth="1"/>
    <col min="2" max="14" width="12.6640625" style="71" customWidth="1"/>
    <col min="15" max="16384" width="11.5" style="71"/>
  </cols>
  <sheetData>
    <row r="1" spans="1:14" ht="18" customHeight="1" x14ac:dyDescent="0.25"/>
    <row r="2" spans="1:14" ht="1" hidden="1" customHeight="1" x14ac:dyDescent="0.25">
      <c r="B2" s="72">
        <v>1</v>
      </c>
      <c r="C2" s="72">
        <v>2</v>
      </c>
      <c r="D2" s="72">
        <v>3</v>
      </c>
      <c r="E2" s="72">
        <v>4</v>
      </c>
      <c r="F2" s="72">
        <v>5</v>
      </c>
      <c r="G2" s="72">
        <v>6</v>
      </c>
      <c r="H2" s="72">
        <v>7</v>
      </c>
      <c r="I2" s="72">
        <v>8</v>
      </c>
      <c r="J2" s="72">
        <v>9</v>
      </c>
      <c r="K2" s="72">
        <v>10</v>
      </c>
      <c r="L2" s="72">
        <v>11</v>
      </c>
      <c r="M2" s="72">
        <v>12</v>
      </c>
    </row>
    <row r="3" spans="1:14" ht="17.5" customHeight="1" x14ac:dyDescent="0.25">
      <c r="A3" s="73" t="str">
        <f>基本情報!B18</f>
        <v>項目</v>
      </c>
      <c r="B3" s="94" t="s">
        <v>79</v>
      </c>
      <c r="C3" s="94" t="s">
        <v>81</v>
      </c>
      <c r="D3" s="94" t="s">
        <v>82</v>
      </c>
      <c r="E3" s="94" t="s">
        <v>83</v>
      </c>
      <c r="F3" s="94" t="s">
        <v>84</v>
      </c>
      <c r="G3" s="94" t="s">
        <v>85</v>
      </c>
      <c r="H3" s="94" t="s">
        <v>86</v>
      </c>
      <c r="I3" s="94" t="s">
        <v>87</v>
      </c>
      <c r="J3" s="94" t="s">
        <v>88</v>
      </c>
      <c r="K3" s="94" t="s">
        <v>89</v>
      </c>
      <c r="L3" s="94" t="s">
        <v>90</v>
      </c>
      <c r="M3" s="94" t="s">
        <v>91</v>
      </c>
      <c r="N3" s="73" t="s">
        <v>110</v>
      </c>
    </row>
    <row r="4" spans="1:14" ht="18" customHeight="1" x14ac:dyDescent="0.25">
      <c r="A4" s="75" t="str">
        <f ca="1">OFFSET(基本情報!B18,1,0)</f>
        <v>内部</v>
      </c>
      <c r="B4" s="91">
        <f ca="1">SUMIFS(スケジュール!$O$8:$O$103,スケジュール!$P$8:$P$103,B$2,スケジュール!$J$8:$J$103,'【レポート】項目別 各月給与'!$A4)</f>
        <v>0</v>
      </c>
      <c r="C4" s="91">
        <f ca="1">SUMIFS(スケジュール!$O$8:$O$103,スケジュール!$P$8:$P$103,C$2,スケジュール!$J$8:$J$103,'【レポート】項目別 各月給与'!$A4)</f>
        <v>0</v>
      </c>
      <c r="D4" s="91">
        <f ca="1">SUMIFS(スケジュール!$O$8:$O$103,スケジュール!$P$8:$P$103,D$2,スケジュール!$J$8:$J$103,'【レポート】項目別 各月給与'!$A4)</f>
        <v>0</v>
      </c>
      <c r="E4" s="91">
        <f ca="1">SUMIFS(スケジュール!$O$8:$O$103,スケジュール!$P$8:$P$103,E$2,スケジュール!$J$8:$J$103,'【レポート】項目別 各月給与'!$A4)</f>
        <v>0</v>
      </c>
      <c r="F4" s="91">
        <f ca="1">SUMIFS(スケジュール!$O$8:$O$103,スケジュール!$P$8:$P$103,F$2,スケジュール!$J$8:$J$103,'【レポート】項目別 各月給与'!$A4)</f>
        <v>0</v>
      </c>
      <c r="G4" s="91">
        <f ca="1">SUMIFS(スケジュール!$O$8:$O$103,スケジュール!$P$8:$P$103,G$2,スケジュール!$J$8:$J$103,'【レポート】項目別 各月給与'!$A4)</f>
        <v>0</v>
      </c>
      <c r="H4" s="91">
        <f ca="1">SUMIFS(スケジュール!$O$8:$O$103,スケジュール!$P$8:$P$103,H$2,スケジュール!$J$8:$J$103,'【レポート】項目別 各月給与'!$A4)</f>
        <v>0</v>
      </c>
      <c r="I4" s="91">
        <f ca="1">SUMIFS(スケジュール!$O$8:$O$103,スケジュール!$P$8:$P$103,I$2,スケジュール!$J$8:$J$103,'【レポート】項目別 各月給与'!$A4)</f>
        <v>0</v>
      </c>
      <c r="J4" s="91">
        <f ca="1">SUMIFS(スケジュール!$O$8:$O$103,スケジュール!$P$8:$P$103,J$2,スケジュール!$J$8:$J$103,'【レポート】項目別 各月給与'!$A4)</f>
        <v>0</v>
      </c>
      <c r="K4" s="91">
        <f ca="1">SUMIFS(スケジュール!$O$8:$O$103,スケジュール!$P$8:$P$103,K$2,スケジュール!$J$8:$J$103,'【レポート】項目別 各月給与'!$A4)</f>
        <v>0</v>
      </c>
      <c r="L4" s="91">
        <f ca="1">SUMIFS(スケジュール!$O$8:$O$103,スケジュール!$P$8:$P$103,L$2,スケジュール!$J$8:$J$103,'【レポート】項目別 各月給与'!$A4)</f>
        <v>0</v>
      </c>
      <c r="M4" s="91">
        <f ca="1">SUMIFS(スケジュール!$O$8:$O$103,スケジュール!$P$8:$P$103,M$2,スケジュール!$J$8:$J$103,'【レポート】項目別 各月給与'!$A4)</f>
        <v>0</v>
      </c>
      <c r="N4" s="92">
        <f ca="1">SUM(B4:M4)</f>
        <v>0</v>
      </c>
    </row>
    <row r="5" spans="1:14" ht="18" customHeight="1" x14ac:dyDescent="0.25">
      <c r="A5" s="75" t="str">
        <f ca="1">OFFSET(基本情報!B19,1,0)</f>
        <v>営業</v>
      </c>
      <c r="B5" s="91">
        <f ca="1">SUMIFS(スケジュール!$O$8:$O$103,スケジュール!$P$8:$P$103,B$2,スケジュール!$J$8:$J$103,'【レポート】項目別 各月給与'!$A5)</f>
        <v>0</v>
      </c>
      <c r="C5" s="91">
        <f ca="1">SUMIFS(スケジュール!$O$8:$O$103,スケジュール!$P$8:$P$103,C$2,スケジュール!$J$8:$J$103,'【レポート】項目別 各月給与'!$A5)</f>
        <v>0</v>
      </c>
      <c r="D5" s="91">
        <f ca="1">SUMIFS(スケジュール!$O$8:$O$103,スケジュール!$P$8:$P$103,D$2,スケジュール!$J$8:$J$103,'【レポート】項目別 各月給与'!$A5)</f>
        <v>0</v>
      </c>
      <c r="E5" s="91">
        <f ca="1">SUMIFS(スケジュール!$O$8:$O$103,スケジュール!$P$8:$P$103,E$2,スケジュール!$J$8:$J$103,'【レポート】項目別 各月給与'!$A5)</f>
        <v>0</v>
      </c>
      <c r="F5" s="91">
        <f ca="1">SUMIFS(スケジュール!$O$8:$O$103,スケジュール!$P$8:$P$103,F$2,スケジュール!$J$8:$J$103,'【レポート】項目別 各月給与'!$A5)</f>
        <v>0</v>
      </c>
      <c r="G5" s="91">
        <f ca="1">SUMIFS(スケジュール!$O$8:$O$103,スケジュール!$P$8:$P$103,G$2,スケジュール!$J$8:$J$103,'【レポート】項目別 各月給与'!$A5)</f>
        <v>0</v>
      </c>
      <c r="H5" s="91">
        <f ca="1">SUMIFS(スケジュール!$O$8:$O$103,スケジュール!$P$8:$P$103,H$2,スケジュール!$J$8:$J$103,'【レポート】項目別 各月給与'!$A5)</f>
        <v>0</v>
      </c>
      <c r="I5" s="91">
        <f ca="1">SUMIFS(スケジュール!$O$8:$O$103,スケジュール!$P$8:$P$103,I$2,スケジュール!$J$8:$J$103,'【レポート】項目別 各月給与'!$A5)</f>
        <v>0</v>
      </c>
      <c r="J5" s="91">
        <f ca="1">SUMIFS(スケジュール!$O$8:$O$103,スケジュール!$P$8:$P$103,J$2,スケジュール!$J$8:$J$103,'【レポート】項目別 各月給与'!$A5)</f>
        <v>0</v>
      </c>
      <c r="K5" s="91">
        <f ca="1">SUMIFS(スケジュール!$O$8:$O$103,スケジュール!$P$8:$P$103,K$2,スケジュール!$J$8:$J$103,'【レポート】項目別 各月給与'!$A5)</f>
        <v>0</v>
      </c>
      <c r="L5" s="91">
        <f ca="1">SUMIFS(スケジュール!$O$8:$O$103,スケジュール!$P$8:$P$103,L$2,スケジュール!$J$8:$J$103,'【レポート】項目別 各月給与'!$A5)</f>
        <v>0</v>
      </c>
      <c r="M5" s="91">
        <f ca="1">SUMIFS(スケジュール!$O$8:$O$103,スケジュール!$P$8:$P$103,M$2,スケジュール!$J$8:$J$103,'【レポート】項目別 各月給与'!$A5)</f>
        <v>0</v>
      </c>
      <c r="N5" s="92">
        <f t="shared" ref="N5:N11" ca="1" si="0">SUM(B5:M5)</f>
        <v>0</v>
      </c>
    </row>
    <row r="6" spans="1:14" ht="18" customHeight="1" x14ac:dyDescent="0.25">
      <c r="A6" s="75" t="str">
        <f ca="1">OFFSET(基本情報!B20,1,0)</f>
        <v>連携</v>
      </c>
      <c r="B6" s="91">
        <f ca="1">SUMIFS(スケジュール!$O$8:$O$103,スケジュール!$P$8:$P$103,B$2,スケジュール!$J$8:$J$103,'【レポート】項目別 各月給与'!$A6)</f>
        <v>0</v>
      </c>
      <c r="C6" s="91">
        <f ca="1">SUMIFS(スケジュール!$O$8:$O$103,スケジュール!$P$8:$P$103,C$2,スケジュール!$J$8:$J$103,'【レポート】項目別 各月給与'!$A6)</f>
        <v>0</v>
      </c>
      <c r="D6" s="91">
        <f ca="1">SUMIFS(スケジュール!$O$8:$O$103,スケジュール!$P$8:$P$103,D$2,スケジュール!$J$8:$J$103,'【レポート】項目別 各月給与'!$A6)</f>
        <v>0</v>
      </c>
      <c r="E6" s="91">
        <f ca="1">SUMIFS(スケジュール!$O$8:$O$103,スケジュール!$P$8:$P$103,E$2,スケジュール!$J$8:$J$103,'【レポート】項目別 各月給与'!$A6)</f>
        <v>0</v>
      </c>
      <c r="F6" s="91">
        <f ca="1">SUMIFS(スケジュール!$O$8:$O$103,スケジュール!$P$8:$P$103,F$2,スケジュール!$J$8:$J$103,'【レポート】項目別 各月給与'!$A6)</f>
        <v>0</v>
      </c>
      <c r="G6" s="91">
        <f ca="1">SUMIFS(スケジュール!$O$8:$O$103,スケジュール!$P$8:$P$103,G$2,スケジュール!$J$8:$J$103,'【レポート】項目別 各月給与'!$A6)</f>
        <v>0</v>
      </c>
      <c r="H6" s="91">
        <f ca="1">SUMIFS(スケジュール!$O$8:$O$103,スケジュール!$P$8:$P$103,H$2,スケジュール!$J$8:$J$103,'【レポート】項目別 各月給与'!$A6)</f>
        <v>0</v>
      </c>
      <c r="I6" s="91">
        <f ca="1">SUMIFS(スケジュール!$O$8:$O$103,スケジュール!$P$8:$P$103,I$2,スケジュール!$J$8:$J$103,'【レポート】項目別 各月給与'!$A6)</f>
        <v>0</v>
      </c>
      <c r="J6" s="91">
        <f ca="1">SUMIFS(スケジュール!$O$8:$O$103,スケジュール!$P$8:$P$103,J$2,スケジュール!$J$8:$J$103,'【レポート】項目別 各月給与'!$A6)</f>
        <v>0</v>
      </c>
      <c r="K6" s="91">
        <f ca="1">SUMIFS(スケジュール!$O$8:$O$103,スケジュール!$P$8:$P$103,K$2,スケジュール!$J$8:$J$103,'【レポート】項目別 各月給与'!$A6)</f>
        <v>0</v>
      </c>
      <c r="L6" s="91">
        <f ca="1">SUMIFS(スケジュール!$O$8:$O$103,スケジュール!$P$8:$P$103,L$2,スケジュール!$J$8:$J$103,'【レポート】項目別 各月給与'!$A6)</f>
        <v>0</v>
      </c>
      <c r="M6" s="91">
        <f ca="1">SUMIFS(スケジュール!$O$8:$O$103,スケジュール!$P$8:$P$103,M$2,スケジュール!$J$8:$J$103,'【レポート】項目別 各月給与'!$A6)</f>
        <v>0</v>
      </c>
      <c r="N6" s="92">
        <f t="shared" ca="1" si="0"/>
        <v>0</v>
      </c>
    </row>
    <row r="7" spans="1:14" ht="18" customHeight="1" x14ac:dyDescent="0.25">
      <c r="A7" s="75" t="str">
        <f ca="1">OFFSET(基本情報!B21,1,0)</f>
        <v>プロジェクトA</v>
      </c>
      <c r="B7" s="91">
        <f ca="1">SUMIFS(スケジュール!$O$8:$O$103,スケジュール!$P$8:$P$103,B$2,スケジュール!$J$8:$J$103,'【レポート】項目別 各月給与'!$A7)</f>
        <v>0</v>
      </c>
      <c r="C7" s="91">
        <f ca="1">SUMIFS(スケジュール!$O$8:$O$103,スケジュール!$P$8:$P$103,C$2,スケジュール!$J$8:$J$103,'【レポート】項目別 各月給与'!$A7)</f>
        <v>0</v>
      </c>
      <c r="D7" s="91">
        <f ca="1">SUMIFS(スケジュール!$O$8:$O$103,スケジュール!$P$8:$P$103,D$2,スケジュール!$J$8:$J$103,'【レポート】項目別 各月給与'!$A7)</f>
        <v>0</v>
      </c>
      <c r="E7" s="91">
        <f ca="1">SUMIFS(スケジュール!$O$8:$O$103,スケジュール!$P$8:$P$103,E$2,スケジュール!$J$8:$J$103,'【レポート】項目別 各月給与'!$A7)</f>
        <v>200000</v>
      </c>
      <c r="F7" s="91">
        <f ca="1">SUMIFS(スケジュール!$O$8:$O$103,スケジュール!$P$8:$P$103,F$2,スケジュール!$J$8:$J$103,'【レポート】項目別 各月給与'!$A7)</f>
        <v>80000</v>
      </c>
      <c r="G7" s="91">
        <f ca="1">SUMIFS(スケジュール!$O$8:$O$103,スケジュール!$P$8:$P$103,G$2,スケジュール!$J$8:$J$103,'【レポート】項目別 各月給与'!$A7)</f>
        <v>0</v>
      </c>
      <c r="H7" s="91">
        <f ca="1">SUMIFS(スケジュール!$O$8:$O$103,スケジュール!$P$8:$P$103,H$2,スケジュール!$J$8:$J$103,'【レポート】項目別 各月給与'!$A7)</f>
        <v>0</v>
      </c>
      <c r="I7" s="91">
        <f ca="1">SUMIFS(スケジュール!$O$8:$O$103,スケジュール!$P$8:$P$103,I$2,スケジュール!$J$8:$J$103,'【レポート】項目別 各月給与'!$A7)</f>
        <v>0</v>
      </c>
      <c r="J7" s="91">
        <f ca="1">SUMIFS(スケジュール!$O$8:$O$103,スケジュール!$P$8:$P$103,J$2,スケジュール!$J$8:$J$103,'【レポート】項目別 各月給与'!$A7)</f>
        <v>0</v>
      </c>
      <c r="K7" s="91">
        <f ca="1">SUMIFS(スケジュール!$O$8:$O$103,スケジュール!$P$8:$P$103,K$2,スケジュール!$J$8:$J$103,'【レポート】項目別 各月給与'!$A7)</f>
        <v>0</v>
      </c>
      <c r="L7" s="91">
        <f ca="1">SUMIFS(スケジュール!$O$8:$O$103,スケジュール!$P$8:$P$103,L$2,スケジュール!$J$8:$J$103,'【レポート】項目別 各月給与'!$A7)</f>
        <v>0</v>
      </c>
      <c r="M7" s="91">
        <f ca="1">SUMIFS(スケジュール!$O$8:$O$103,スケジュール!$P$8:$P$103,M$2,スケジュール!$J$8:$J$103,'【レポート】項目別 各月給与'!$A7)</f>
        <v>0</v>
      </c>
      <c r="N7" s="92">
        <f t="shared" ca="1" si="0"/>
        <v>280000</v>
      </c>
    </row>
    <row r="8" spans="1:14" ht="18" customHeight="1" x14ac:dyDescent="0.25">
      <c r="A8" s="75" t="str">
        <f ca="1">OFFSET(基本情報!B22,1,0)</f>
        <v>プロジェクトB</v>
      </c>
      <c r="B8" s="91">
        <f ca="1">SUMIFS(スケジュール!$O$8:$O$103,スケジュール!$P$8:$P$103,B$2,スケジュール!$J$8:$J$103,'【レポート】項目別 各月給与'!$A8)</f>
        <v>0</v>
      </c>
      <c r="C8" s="91">
        <f ca="1">SUMIFS(スケジュール!$O$8:$O$103,スケジュール!$P$8:$P$103,C$2,スケジュール!$J$8:$J$103,'【レポート】項目別 各月給与'!$A8)</f>
        <v>0</v>
      </c>
      <c r="D8" s="91">
        <f ca="1">SUMIFS(スケジュール!$O$8:$O$103,スケジュール!$P$8:$P$103,D$2,スケジュール!$J$8:$J$103,'【レポート】項目別 各月給与'!$A8)</f>
        <v>0</v>
      </c>
      <c r="E8" s="91">
        <f ca="1">SUMIFS(スケジュール!$O$8:$O$103,スケジュール!$P$8:$P$103,E$2,スケジュール!$J$8:$J$103,'【レポート】項目別 各月給与'!$A8)</f>
        <v>2000</v>
      </c>
      <c r="F8" s="91">
        <f ca="1">SUMIFS(スケジュール!$O$8:$O$103,スケジュール!$P$8:$P$103,F$2,スケジュール!$J$8:$J$103,'【レポート】項目別 各月給与'!$A8)</f>
        <v>24000</v>
      </c>
      <c r="G8" s="91">
        <f ca="1">SUMIFS(スケジュール!$O$8:$O$103,スケジュール!$P$8:$P$103,G$2,スケジュール!$J$8:$J$103,'【レポート】項目別 各月給与'!$A8)</f>
        <v>0</v>
      </c>
      <c r="H8" s="91">
        <f ca="1">SUMIFS(スケジュール!$O$8:$O$103,スケジュール!$P$8:$P$103,H$2,スケジュール!$J$8:$J$103,'【レポート】項目別 各月給与'!$A8)</f>
        <v>0</v>
      </c>
      <c r="I8" s="91">
        <f ca="1">SUMIFS(スケジュール!$O$8:$O$103,スケジュール!$P$8:$P$103,I$2,スケジュール!$J$8:$J$103,'【レポート】項目別 各月給与'!$A8)</f>
        <v>0</v>
      </c>
      <c r="J8" s="91">
        <f ca="1">SUMIFS(スケジュール!$O$8:$O$103,スケジュール!$P$8:$P$103,J$2,スケジュール!$J$8:$J$103,'【レポート】項目別 各月給与'!$A8)</f>
        <v>0</v>
      </c>
      <c r="K8" s="91">
        <f ca="1">SUMIFS(スケジュール!$O$8:$O$103,スケジュール!$P$8:$P$103,K$2,スケジュール!$J$8:$J$103,'【レポート】項目別 各月給与'!$A8)</f>
        <v>0</v>
      </c>
      <c r="L8" s="91">
        <f ca="1">SUMIFS(スケジュール!$O$8:$O$103,スケジュール!$P$8:$P$103,L$2,スケジュール!$J$8:$J$103,'【レポート】項目別 各月給与'!$A8)</f>
        <v>0</v>
      </c>
      <c r="M8" s="91">
        <f ca="1">SUMIFS(スケジュール!$O$8:$O$103,スケジュール!$P$8:$P$103,M$2,スケジュール!$J$8:$J$103,'【レポート】項目別 各月給与'!$A8)</f>
        <v>0</v>
      </c>
      <c r="N8" s="92">
        <f t="shared" ca="1" si="0"/>
        <v>26000</v>
      </c>
    </row>
    <row r="9" spans="1:14" ht="18" customHeight="1" x14ac:dyDescent="0.25">
      <c r="A9" s="75" t="str">
        <f ca="1">OFFSET(基本情報!B23,1,0)</f>
        <v>プロジェクトG</v>
      </c>
      <c r="B9" s="91">
        <f ca="1">SUMIFS(スケジュール!$O$8:$O$103,スケジュール!$P$8:$P$103,B$2,スケジュール!$J$8:$J$103,'【レポート】項目別 各月給与'!$A9)</f>
        <v>0</v>
      </c>
      <c r="C9" s="91">
        <f ca="1">SUMIFS(スケジュール!$O$8:$O$103,スケジュール!$P$8:$P$103,C$2,スケジュール!$J$8:$J$103,'【レポート】項目別 各月給与'!$A9)</f>
        <v>0</v>
      </c>
      <c r="D9" s="91">
        <f ca="1">SUMIFS(スケジュール!$O$8:$O$103,スケジュール!$P$8:$P$103,D$2,スケジュール!$J$8:$J$103,'【レポート】項目別 各月給与'!$A9)</f>
        <v>0</v>
      </c>
      <c r="E9" s="91">
        <f ca="1">SUMIFS(スケジュール!$O$8:$O$103,スケジュール!$P$8:$P$103,E$2,スケジュール!$J$8:$J$103,'【レポート】項目別 各月給与'!$A9)</f>
        <v>0</v>
      </c>
      <c r="F9" s="91">
        <f ca="1">SUMIFS(スケジュール!$O$8:$O$103,スケジュール!$P$8:$P$103,F$2,スケジュール!$J$8:$J$103,'【レポート】項目別 各月給与'!$A9)</f>
        <v>22500</v>
      </c>
      <c r="G9" s="91">
        <f ca="1">SUMIFS(スケジュール!$O$8:$O$103,スケジュール!$P$8:$P$103,G$2,スケジュール!$J$8:$J$103,'【レポート】項目別 各月給与'!$A9)</f>
        <v>0</v>
      </c>
      <c r="H9" s="91">
        <f ca="1">SUMIFS(スケジュール!$O$8:$O$103,スケジュール!$P$8:$P$103,H$2,スケジュール!$J$8:$J$103,'【レポート】項目別 各月給与'!$A9)</f>
        <v>0</v>
      </c>
      <c r="I9" s="91">
        <f ca="1">SUMIFS(スケジュール!$O$8:$O$103,スケジュール!$P$8:$P$103,I$2,スケジュール!$J$8:$J$103,'【レポート】項目別 各月給与'!$A9)</f>
        <v>0</v>
      </c>
      <c r="J9" s="91">
        <f ca="1">SUMIFS(スケジュール!$O$8:$O$103,スケジュール!$P$8:$P$103,J$2,スケジュール!$J$8:$J$103,'【レポート】項目別 各月給与'!$A9)</f>
        <v>0</v>
      </c>
      <c r="K9" s="91">
        <f ca="1">SUMIFS(スケジュール!$O$8:$O$103,スケジュール!$P$8:$P$103,K$2,スケジュール!$J$8:$J$103,'【レポート】項目別 各月給与'!$A9)</f>
        <v>0</v>
      </c>
      <c r="L9" s="91">
        <f ca="1">SUMIFS(スケジュール!$O$8:$O$103,スケジュール!$P$8:$P$103,L$2,スケジュール!$J$8:$J$103,'【レポート】項目別 各月給与'!$A9)</f>
        <v>0</v>
      </c>
      <c r="M9" s="91">
        <f ca="1">SUMIFS(スケジュール!$O$8:$O$103,スケジュール!$P$8:$P$103,M$2,スケジュール!$J$8:$J$103,'【レポート】項目別 各月給与'!$A9)</f>
        <v>0</v>
      </c>
      <c r="N9" s="92">
        <f t="shared" ca="1" si="0"/>
        <v>22500</v>
      </c>
    </row>
    <row r="10" spans="1:14" ht="18" customHeight="1" x14ac:dyDescent="0.25">
      <c r="A10" s="75">
        <f ca="1">OFFSET(基本情報!B24,1,0)</f>
        <v>0</v>
      </c>
      <c r="B10" s="91">
        <f ca="1">SUMIFS(スケジュール!$O$8:$O$103,スケジュール!$P$8:$P$103,B$2,スケジュール!$J$8:$J$103,'【レポート】項目別 各月給与'!$A10)</f>
        <v>0</v>
      </c>
      <c r="C10" s="91">
        <f ca="1">SUMIFS(スケジュール!$O$8:$O$103,スケジュール!$P$8:$P$103,C$2,スケジュール!$J$8:$J$103,'【レポート】項目別 各月給与'!$A10)</f>
        <v>0</v>
      </c>
      <c r="D10" s="91">
        <f ca="1">SUMIFS(スケジュール!$O$8:$O$103,スケジュール!$P$8:$P$103,D$2,スケジュール!$J$8:$J$103,'【レポート】項目別 各月給与'!$A10)</f>
        <v>0</v>
      </c>
      <c r="E10" s="91">
        <f ca="1">SUMIFS(スケジュール!$O$8:$O$103,スケジュール!$P$8:$P$103,E$2,スケジュール!$J$8:$J$103,'【レポート】項目別 各月給与'!$A10)</f>
        <v>0</v>
      </c>
      <c r="F10" s="91">
        <f ca="1">SUMIFS(スケジュール!$O$8:$O$103,スケジュール!$P$8:$P$103,F$2,スケジュール!$J$8:$J$103,'【レポート】項目別 各月給与'!$A10)</f>
        <v>0</v>
      </c>
      <c r="G10" s="91">
        <f ca="1">SUMIFS(スケジュール!$O$8:$O$103,スケジュール!$P$8:$P$103,G$2,スケジュール!$J$8:$J$103,'【レポート】項目別 各月給与'!$A10)</f>
        <v>0</v>
      </c>
      <c r="H10" s="91">
        <f ca="1">SUMIFS(スケジュール!$O$8:$O$103,スケジュール!$P$8:$P$103,H$2,スケジュール!$J$8:$J$103,'【レポート】項目別 各月給与'!$A10)</f>
        <v>0</v>
      </c>
      <c r="I10" s="91">
        <f ca="1">SUMIFS(スケジュール!$O$8:$O$103,スケジュール!$P$8:$P$103,I$2,スケジュール!$J$8:$J$103,'【レポート】項目別 各月給与'!$A10)</f>
        <v>0</v>
      </c>
      <c r="J10" s="91">
        <f ca="1">SUMIFS(スケジュール!$O$8:$O$103,スケジュール!$P$8:$P$103,J$2,スケジュール!$J$8:$J$103,'【レポート】項目別 各月給与'!$A10)</f>
        <v>0</v>
      </c>
      <c r="K10" s="91">
        <f ca="1">SUMIFS(スケジュール!$O$8:$O$103,スケジュール!$P$8:$P$103,K$2,スケジュール!$J$8:$J$103,'【レポート】項目別 各月給与'!$A10)</f>
        <v>0</v>
      </c>
      <c r="L10" s="91">
        <f ca="1">SUMIFS(スケジュール!$O$8:$O$103,スケジュール!$P$8:$P$103,L$2,スケジュール!$J$8:$J$103,'【レポート】項目別 各月給与'!$A10)</f>
        <v>0</v>
      </c>
      <c r="M10" s="91">
        <f ca="1">SUMIFS(スケジュール!$O$8:$O$103,スケジュール!$P$8:$P$103,M$2,スケジュール!$J$8:$J$103,'【レポート】項目別 各月給与'!$A10)</f>
        <v>0</v>
      </c>
      <c r="N10" s="92">
        <f t="shared" ca="1" si="0"/>
        <v>0</v>
      </c>
    </row>
    <row r="11" spans="1:14" ht="18" customHeight="1" x14ac:dyDescent="0.25">
      <c r="A11" s="75">
        <f ca="1">OFFSET(基本情報!B25,1,0)</f>
        <v>0</v>
      </c>
      <c r="B11" s="91">
        <f ca="1">SUMIFS(スケジュール!$O$8:$O$103,スケジュール!$P$8:$P$103,B$2,スケジュール!$J$8:$J$103,'【レポート】項目別 各月給与'!$A11)</f>
        <v>0</v>
      </c>
      <c r="C11" s="91">
        <f ca="1">SUMIFS(スケジュール!$O$8:$O$103,スケジュール!$P$8:$P$103,C$2,スケジュール!$J$8:$J$103,'【レポート】項目別 各月給与'!$A11)</f>
        <v>0</v>
      </c>
      <c r="D11" s="91">
        <f ca="1">SUMIFS(スケジュール!$O$8:$O$103,スケジュール!$P$8:$P$103,D$2,スケジュール!$J$8:$J$103,'【レポート】項目別 各月給与'!$A11)</f>
        <v>0</v>
      </c>
      <c r="E11" s="91">
        <f ca="1">SUMIFS(スケジュール!$O$8:$O$103,スケジュール!$P$8:$P$103,E$2,スケジュール!$J$8:$J$103,'【レポート】項目別 各月給与'!$A11)</f>
        <v>0</v>
      </c>
      <c r="F11" s="91">
        <f ca="1">SUMIFS(スケジュール!$O$8:$O$103,スケジュール!$P$8:$P$103,F$2,スケジュール!$J$8:$J$103,'【レポート】項目別 各月給与'!$A11)</f>
        <v>0</v>
      </c>
      <c r="G11" s="91">
        <f ca="1">SUMIFS(スケジュール!$O$8:$O$103,スケジュール!$P$8:$P$103,G$2,スケジュール!$J$8:$J$103,'【レポート】項目別 各月給与'!$A11)</f>
        <v>0</v>
      </c>
      <c r="H11" s="91">
        <f ca="1">SUMIFS(スケジュール!$O$8:$O$103,スケジュール!$P$8:$P$103,H$2,スケジュール!$J$8:$J$103,'【レポート】項目別 各月給与'!$A11)</f>
        <v>0</v>
      </c>
      <c r="I11" s="91">
        <f ca="1">SUMIFS(スケジュール!$O$8:$O$103,スケジュール!$P$8:$P$103,I$2,スケジュール!$J$8:$J$103,'【レポート】項目別 各月給与'!$A11)</f>
        <v>0</v>
      </c>
      <c r="J11" s="91">
        <f ca="1">SUMIFS(スケジュール!$O$8:$O$103,スケジュール!$P$8:$P$103,J$2,スケジュール!$J$8:$J$103,'【レポート】項目別 各月給与'!$A11)</f>
        <v>0</v>
      </c>
      <c r="K11" s="91">
        <f ca="1">SUMIFS(スケジュール!$O$8:$O$103,スケジュール!$P$8:$P$103,K$2,スケジュール!$J$8:$J$103,'【レポート】項目別 各月給与'!$A11)</f>
        <v>0</v>
      </c>
      <c r="L11" s="91">
        <f ca="1">SUMIFS(スケジュール!$O$8:$O$103,スケジュール!$P$8:$P$103,L$2,スケジュール!$J$8:$J$103,'【レポート】項目別 各月給与'!$A11)</f>
        <v>0</v>
      </c>
      <c r="M11" s="91">
        <f ca="1">SUMIFS(スケジュール!$O$8:$O$103,スケジュール!$P$8:$P$103,M$2,スケジュール!$J$8:$J$103,'【レポート】項目別 各月給与'!$A11)</f>
        <v>0</v>
      </c>
      <c r="N11" s="92">
        <f t="shared" ca="1" si="0"/>
        <v>0</v>
      </c>
    </row>
    <row r="12" spans="1:14" x14ac:dyDescent="0.25">
      <c r="A12" s="73" t="s">
        <v>110</v>
      </c>
      <c r="B12" s="93">
        <f ca="1">SUM(B4:B11)</f>
        <v>0</v>
      </c>
      <c r="C12" s="93">
        <f t="shared" ref="C12:N12" ca="1" si="1">SUM(C4:C11)</f>
        <v>0</v>
      </c>
      <c r="D12" s="93">
        <f t="shared" ca="1" si="1"/>
        <v>0</v>
      </c>
      <c r="E12" s="93">
        <f t="shared" ca="1" si="1"/>
        <v>202000</v>
      </c>
      <c r="F12" s="93">
        <f t="shared" ca="1" si="1"/>
        <v>126500</v>
      </c>
      <c r="G12" s="93">
        <f t="shared" ca="1" si="1"/>
        <v>0</v>
      </c>
      <c r="H12" s="93">
        <f t="shared" ca="1" si="1"/>
        <v>0</v>
      </c>
      <c r="I12" s="93">
        <f t="shared" ca="1" si="1"/>
        <v>0</v>
      </c>
      <c r="J12" s="93">
        <f t="shared" ca="1" si="1"/>
        <v>0</v>
      </c>
      <c r="K12" s="93">
        <f t="shared" ca="1" si="1"/>
        <v>0</v>
      </c>
      <c r="L12" s="93">
        <f t="shared" ca="1" si="1"/>
        <v>0</v>
      </c>
      <c r="M12" s="93">
        <f t="shared" ca="1" si="1"/>
        <v>0</v>
      </c>
      <c r="N12" s="93">
        <f t="shared" ca="1" si="1"/>
        <v>328500</v>
      </c>
    </row>
  </sheetData>
  <phoneticPr fontId="16"/>
  <pageMargins left="0.70866141732283472" right="0.70866141732283472" top="0.78740157480314965" bottom="0.78740157480314965" header="0.31496062992125984" footer="0.31496062992125984"/>
  <pageSetup paperSize="9" scale="74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12CC5-438A-4176-997F-98F76B140922}">
  <sheetPr>
    <tabColor theme="1" tint="0.499984740745262"/>
  </sheetPr>
  <dimension ref="B2:C40"/>
  <sheetViews>
    <sheetView showGridLines="0" workbookViewId="0">
      <selection activeCell="G19" sqref="G19:H19"/>
    </sheetView>
  </sheetViews>
  <sheetFormatPr baseColWidth="10" defaultColWidth="11.5" defaultRowHeight="15" x14ac:dyDescent="0.15"/>
  <cols>
    <col min="1" max="1" width="6.33203125" style="2" customWidth="1"/>
    <col min="2" max="2" width="26.33203125" style="2" customWidth="1"/>
    <col min="3" max="3" width="47.1640625" style="2" bestFit="1" customWidth="1"/>
    <col min="4" max="16384" width="11.5" style="2"/>
  </cols>
  <sheetData>
    <row r="2" spans="2:3" x14ac:dyDescent="0.15">
      <c r="B2" s="78" t="s">
        <v>6</v>
      </c>
      <c r="C2" s="79" t="s">
        <v>7</v>
      </c>
    </row>
    <row r="3" spans="2:3" ht="17" x14ac:dyDescent="0.15">
      <c r="B3" s="80">
        <v>44927</v>
      </c>
      <c r="C3" s="81" t="s">
        <v>8</v>
      </c>
    </row>
    <row r="4" spans="2:3" ht="17" x14ac:dyDescent="0.15">
      <c r="B4" s="80">
        <v>44928</v>
      </c>
      <c r="C4" s="81" t="s">
        <v>9</v>
      </c>
    </row>
    <row r="5" spans="2:3" ht="17" x14ac:dyDescent="0.15">
      <c r="B5" s="80">
        <v>44935</v>
      </c>
      <c r="C5" s="81" t="s">
        <v>10</v>
      </c>
    </row>
    <row r="6" spans="2:3" ht="17" x14ac:dyDescent="0.15">
      <c r="B6" s="80">
        <v>44968</v>
      </c>
      <c r="C6" s="81" t="s">
        <v>11</v>
      </c>
    </row>
    <row r="7" spans="2:3" ht="17" x14ac:dyDescent="0.15">
      <c r="B7" s="80">
        <v>44980</v>
      </c>
      <c r="C7" s="81" t="s">
        <v>12</v>
      </c>
    </row>
    <row r="8" spans="2:3" ht="17" x14ac:dyDescent="0.15">
      <c r="B8" s="80">
        <v>45006</v>
      </c>
      <c r="C8" s="81" t="s">
        <v>13</v>
      </c>
    </row>
    <row r="9" spans="2:3" ht="17" x14ac:dyDescent="0.15">
      <c r="B9" s="80">
        <v>45045</v>
      </c>
      <c r="C9" s="81" t="s">
        <v>14</v>
      </c>
    </row>
    <row r="10" spans="2:3" ht="17" x14ac:dyDescent="0.15">
      <c r="B10" s="80">
        <v>45049</v>
      </c>
      <c r="C10" s="81" t="s">
        <v>15</v>
      </c>
    </row>
    <row r="11" spans="2:3" ht="17" x14ac:dyDescent="0.15">
      <c r="B11" s="80">
        <v>45050</v>
      </c>
      <c r="C11" s="81" t="s">
        <v>16</v>
      </c>
    </row>
    <row r="12" spans="2:3" ht="17" x14ac:dyDescent="0.15">
      <c r="B12" s="80">
        <v>45051</v>
      </c>
      <c r="C12" s="81" t="s">
        <v>17</v>
      </c>
    </row>
    <row r="13" spans="2:3" ht="17" x14ac:dyDescent="0.15">
      <c r="B13" s="80">
        <v>45124</v>
      </c>
      <c r="C13" s="81" t="s">
        <v>18</v>
      </c>
    </row>
    <row r="14" spans="2:3" ht="17" x14ac:dyDescent="0.15">
      <c r="B14" s="80">
        <v>45149</v>
      </c>
      <c r="C14" s="81" t="s">
        <v>19</v>
      </c>
    </row>
    <row r="15" spans="2:3" ht="17" x14ac:dyDescent="0.15">
      <c r="B15" s="80">
        <v>45187</v>
      </c>
      <c r="C15" s="81" t="s">
        <v>20</v>
      </c>
    </row>
    <row r="16" spans="2:3" ht="17" x14ac:dyDescent="0.15">
      <c r="B16" s="80">
        <v>45192</v>
      </c>
      <c r="C16" s="81" t="s">
        <v>21</v>
      </c>
    </row>
    <row r="17" spans="2:3" ht="17" x14ac:dyDescent="0.15">
      <c r="B17" s="80">
        <v>45208</v>
      </c>
      <c r="C17" s="81" t="s">
        <v>22</v>
      </c>
    </row>
    <row r="18" spans="2:3" ht="17" x14ac:dyDescent="0.15">
      <c r="B18" s="80">
        <v>45233</v>
      </c>
      <c r="C18" s="81" t="s">
        <v>23</v>
      </c>
    </row>
    <row r="19" spans="2:3" ht="17" x14ac:dyDescent="0.15">
      <c r="B19" s="80">
        <v>45253</v>
      </c>
      <c r="C19" s="81" t="s">
        <v>24</v>
      </c>
    </row>
    <row r="20" spans="2:3" ht="17" x14ac:dyDescent="0.15">
      <c r="B20" s="80"/>
      <c r="C20" s="81"/>
    </row>
    <row r="21" spans="2:3" ht="17" x14ac:dyDescent="0.15">
      <c r="B21" s="80"/>
      <c r="C21" s="81"/>
    </row>
    <row r="22" spans="2:3" ht="17" x14ac:dyDescent="0.15">
      <c r="B22" s="80"/>
      <c r="C22" s="81"/>
    </row>
    <row r="23" spans="2:3" ht="17" x14ac:dyDescent="0.15">
      <c r="B23" s="80"/>
      <c r="C23" s="81"/>
    </row>
    <row r="24" spans="2:3" ht="17" x14ac:dyDescent="0.15">
      <c r="B24" s="80"/>
      <c r="C24" s="81"/>
    </row>
    <row r="25" spans="2:3" ht="17" x14ac:dyDescent="0.15">
      <c r="B25" s="80"/>
      <c r="C25" s="81"/>
    </row>
    <row r="26" spans="2:3" ht="17" x14ac:dyDescent="0.15">
      <c r="B26" s="80"/>
      <c r="C26" s="81"/>
    </row>
    <row r="27" spans="2:3" ht="17" x14ac:dyDescent="0.15">
      <c r="B27" s="80"/>
      <c r="C27" s="81"/>
    </row>
    <row r="28" spans="2:3" ht="17" x14ac:dyDescent="0.15">
      <c r="B28" s="80"/>
      <c r="C28" s="81"/>
    </row>
    <row r="29" spans="2:3" ht="17" x14ac:dyDescent="0.15">
      <c r="B29" s="80"/>
      <c r="C29" s="81"/>
    </row>
    <row r="30" spans="2:3" ht="17" x14ac:dyDescent="0.15">
      <c r="B30" s="80"/>
      <c r="C30" s="81"/>
    </row>
    <row r="31" spans="2:3" ht="17" x14ac:dyDescent="0.15">
      <c r="B31" s="80"/>
      <c r="C31" s="81"/>
    </row>
    <row r="32" spans="2:3" ht="17" x14ac:dyDescent="0.15">
      <c r="B32" s="80"/>
      <c r="C32" s="81"/>
    </row>
    <row r="33" spans="2:3" ht="17" x14ac:dyDescent="0.15">
      <c r="B33" s="80"/>
      <c r="C33" s="81"/>
    </row>
    <row r="34" spans="2:3" ht="17" x14ac:dyDescent="0.15">
      <c r="B34" s="80"/>
      <c r="C34" s="81"/>
    </row>
    <row r="35" spans="2:3" ht="17" x14ac:dyDescent="0.15">
      <c r="B35" s="80"/>
      <c r="C35" s="81"/>
    </row>
    <row r="36" spans="2:3" ht="17" x14ac:dyDescent="0.15">
      <c r="B36" s="80"/>
      <c r="C36" s="81"/>
    </row>
    <row r="37" spans="2:3" ht="17" x14ac:dyDescent="0.15">
      <c r="B37" s="80"/>
      <c r="C37" s="81"/>
    </row>
    <row r="38" spans="2:3" ht="17" x14ac:dyDescent="0.15">
      <c r="B38" s="80"/>
      <c r="C38" s="81"/>
    </row>
    <row r="39" spans="2:3" ht="17" x14ac:dyDescent="0.15">
      <c r="B39" s="80"/>
      <c r="C39" s="81"/>
    </row>
    <row r="40" spans="2:3" ht="17" x14ac:dyDescent="0.15">
      <c r="B40" s="80"/>
      <c r="C40" s="81"/>
    </row>
  </sheetData>
  <phoneticPr fontId="16"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5</vt:i4>
      </vt:variant>
    </vt:vector>
  </HeadingPairs>
  <TitlesOfParts>
    <vt:vector size="12" baseType="lpstr">
      <vt:lpstr>基本情報</vt:lpstr>
      <vt:lpstr>スケジュール</vt:lpstr>
      <vt:lpstr>休暇管理</vt:lpstr>
      <vt:lpstr>【レポート】月別　労働時間・日数</vt:lpstr>
      <vt:lpstr>【レポート】項目別　労働時間</vt:lpstr>
      <vt:lpstr>【レポート】項目別 各月給与</vt:lpstr>
      <vt:lpstr>祝日・休日</vt:lpstr>
      <vt:lpstr>'【レポート】月別　労働時間・日数'!Print_Area</vt:lpstr>
      <vt:lpstr>'【レポート】項目別 各月給与'!Print_Area</vt:lpstr>
      <vt:lpstr>'【レポート】項目別　労働時間'!Print_Area</vt:lpstr>
      <vt:lpstr>スケジュール!Print_Area</vt:lpstr>
      <vt:lpstr>休暇管理!Print_Area</vt:lpstr>
    </vt:vector>
  </TitlesOfParts>
  <Manager/>
  <Company>Catus Consultants GmbH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Christian Lechner</dc:creator>
  <cp:keywords/>
  <dc:description/>
  <cp:lastModifiedBy>Microsoft Office User</cp:lastModifiedBy>
  <cp:lastPrinted>2021-09-13T20:49:21Z</cp:lastPrinted>
  <dcterms:created xsi:type="dcterms:W3CDTF">2015-06-05T18:19:34Z</dcterms:created>
  <dcterms:modified xsi:type="dcterms:W3CDTF">2023-06-16T07:30:56Z</dcterms:modified>
  <cp:category/>
  <cp:version>v1, 13.08.2021</cp:version>
</cp:coreProperties>
</file>