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-my.sharepoint.com/personal/ottar_g_erlingsson_fiskistofa_is/Documents/"/>
    </mc:Choice>
  </mc:AlternateContent>
  <xr:revisionPtr revIDLastSave="90" documentId="8_{1597987F-9163-48DE-AEC5-BF5BAC23CFCA}" xr6:coauthVersionLast="47" xr6:coauthVersionMax="47" xr10:uidLastSave="{4BD99E2D-2AF5-48BE-B42E-F0FDFC1975FE}"/>
  <bookViews>
    <workbookView minimized="1" xWindow="37485" yWindow="1440" windowWidth="28800" windowHeight="14655" xr2:uid="{B67784C8-17B4-412A-929B-FE67E4EF333D}"/>
  </bookViews>
  <sheets>
    <sheet name="Þorskur og ýsa" sheetId="1" r:id="rId1"/>
    <sheet name="Uppsjávarfiskur" sheetId="2" r:id="rId2"/>
  </sheets>
  <externalReferences>
    <externalReference r:id="rId3"/>
  </externalReferenc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2" l="1"/>
  <c r="L50" i="2" s="1"/>
  <c r="F50" i="2"/>
  <c r="G50" i="2" s="1"/>
  <c r="K49" i="2"/>
  <c r="L49" i="2" s="1"/>
  <c r="F49" i="2"/>
  <c r="G49" i="2" s="1"/>
  <c r="K48" i="2"/>
  <c r="L48" i="2" s="1"/>
  <c r="F48" i="2"/>
  <c r="G48" i="2" s="1"/>
  <c r="K47" i="2"/>
  <c r="L47" i="2" s="1"/>
  <c r="F47" i="2"/>
  <c r="G47" i="2" s="1"/>
  <c r="K46" i="2"/>
  <c r="L46" i="2" s="1"/>
  <c r="F46" i="2"/>
  <c r="G46" i="2" s="1"/>
  <c r="K45" i="2"/>
  <c r="L45" i="2" s="1"/>
  <c r="F45" i="2"/>
  <c r="G45" i="2" s="1"/>
  <c r="K44" i="2"/>
  <c r="L44" i="2" s="1"/>
  <c r="F44" i="2"/>
  <c r="G44" i="2" s="1"/>
  <c r="K43" i="2"/>
  <c r="L43" i="2" s="1"/>
  <c r="F43" i="2"/>
  <c r="G43" i="2" s="1"/>
  <c r="K42" i="2"/>
  <c r="L42" i="2" s="1"/>
  <c r="F42" i="2"/>
  <c r="G42" i="2" s="1"/>
  <c r="K41" i="2"/>
  <c r="L41" i="2" s="1"/>
  <c r="F41" i="2"/>
  <c r="G41" i="2" s="1"/>
  <c r="K40" i="2"/>
  <c r="L40" i="2" s="1"/>
  <c r="F40" i="2"/>
  <c r="G40" i="2" s="1"/>
  <c r="K39" i="2"/>
  <c r="L39" i="2" s="1"/>
  <c r="F39" i="2"/>
  <c r="G39" i="2" s="1"/>
  <c r="K38" i="2"/>
  <c r="L38" i="2" s="1"/>
  <c r="F38" i="2"/>
  <c r="G38" i="2" s="1"/>
  <c r="J38" i="2" s="1"/>
  <c r="K37" i="2"/>
  <c r="L37" i="2" s="1"/>
  <c r="F37" i="2"/>
  <c r="G37" i="2" s="1"/>
  <c r="J37" i="2" s="1"/>
  <c r="K36" i="2"/>
  <c r="L36" i="2" s="1"/>
  <c r="F36" i="2"/>
  <c r="G36" i="2" s="1"/>
  <c r="J36" i="2" s="1"/>
  <c r="K35" i="2"/>
  <c r="L35" i="2" s="1"/>
  <c r="F35" i="2"/>
  <c r="G35" i="2" s="1"/>
  <c r="J35" i="2" s="1"/>
  <c r="K34" i="2"/>
  <c r="L34" i="2" s="1"/>
  <c r="F34" i="2"/>
  <c r="G34" i="2" s="1"/>
  <c r="J34" i="2" s="1"/>
  <c r="K33" i="2"/>
  <c r="L33" i="2" s="1"/>
  <c r="F33" i="2"/>
  <c r="G33" i="2" s="1"/>
  <c r="J33" i="2" s="1"/>
  <c r="K32" i="2"/>
  <c r="L32" i="2" s="1"/>
  <c r="F32" i="2"/>
  <c r="G32" i="2" s="1"/>
  <c r="J32" i="2" s="1"/>
  <c r="K31" i="2"/>
  <c r="L31" i="2" s="1"/>
  <c r="F31" i="2"/>
  <c r="G31" i="2" s="1"/>
  <c r="J31" i="2" s="1"/>
  <c r="K30" i="2"/>
  <c r="L30" i="2" s="1"/>
  <c r="F30" i="2"/>
  <c r="G30" i="2" s="1"/>
  <c r="J30" i="2" s="1"/>
  <c r="K29" i="2"/>
  <c r="L29" i="2" s="1"/>
  <c r="F29" i="2"/>
  <c r="G29" i="2" s="1"/>
  <c r="J29" i="2" s="1"/>
  <c r="K28" i="2"/>
  <c r="L28" i="2" s="1"/>
  <c r="F28" i="2"/>
  <c r="G28" i="2" s="1"/>
  <c r="J28" i="2" s="1"/>
  <c r="K27" i="2"/>
  <c r="L27" i="2" s="1"/>
  <c r="F27" i="2"/>
  <c r="G27" i="2" s="1"/>
  <c r="J27" i="2" s="1"/>
  <c r="K26" i="2"/>
  <c r="L26" i="2" s="1"/>
  <c r="F26" i="2"/>
  <c r="G26" i="2" s="1"/>
  <c r="J26" i="2" s="1"/>
  <c r="K25" i="2"/>
  <c r="L25" i="2" s="1"/>
  <c r="F25" i="2"/>
  <c r="G25" i="2" s="1"/>
  <c r="J25" i="2" s="1"/>
  <c r="K24" i="2"/>
  <c r="L24" i="2" s="1"/>
  <c r="F24" i="2"/>
  <c r="G24" i="2" s="1"/>
  <c r="J24" i="2" s="1"/>
  <c r="K23" i="2"/>
  <c r="L23" i="2" s="1"/>
  <c r="F23" i="2"/>
  <c r="G23" i="2" s="1"/>
  <c r="J23" i="2" s="1"/>
  <c r="K22" i="2"/>
  <c r="L22" i="2" s="1"/>
  <c r="F22" i="2"/>
  <c r="G22" i="2" s="1"/>
  <c r="J22" i="2" s="1"/>
  <c r="K21" i="2"/>
  <c r="L21" i="2" s="1"/>
  <c r="F21" i="2"/>
  <c r="G21" i="2" s="1"/>
  <c r="J21" i="2" s="1"/>
  <c r="K20" i="2"/>
  <c r="L20" i="2" s="1"/>
  <c r="F20" i="2"/>
  <c r="G20" i="2" s="1"/>
  <c r="J20" i="2" s="1"/>
  <c r="K19" i="2"/>
  <c r="L19" i="2" s="1"/>
  <c r="F19" i="2"/>
  <c r="G19" i="2" s="1"/>
  <c r="J19" i="2" s="1"/>
  <c r="K18" i="2"/>
  <c r="L18" i="2" s="1"/>
  <c r="F18" i="2"/>
  <c r="G18" i="2" s="1"/>
  <c r="J18" i="2" s="1"/>
  <c r="K17" i="2"/>
  <c r="L17" i="2" s="1"/>
  <c r="F17" i="2"/>
  <c r="G17" i="2" s="1"/>
  <c r="J17" i="2" s="1"/>
  <c r="K16" i="2"/>
  <c r="L16" i="2" s="1"/>
  <c r="F16" i="2"/>
  <c r="G16" i="2" s="1"/>
  <c r="J16" i="2" s="1"/>
  <c r="K15" i="2"/>
  <c r="L15" i="2" s="1"/>
  <c r="F15" i="2"/>
  <c r="G15" i="2" s="1"/>
  <c r="J15" i="2" s="1"/>
  <c r="K14" i="2"/>
  <c r="L14" i="2" s="1"/>
  <c r="F14" i="2"/>
  <c r="G14" i="2" s="1"/>
  <c r="J14" i="2" s="1"/>
  <c r="K13" i="2"/>
  <c r="L13" i="2" s="1"/>
  <c r="F13" i="2"/>
  <c r="G13" i="2" s="1"/>
  <c r="J13" i="2" s="1"/>
  <c r="K12" i="2"/>
  <c r="L12" i="2" s="1"/>
  <c r="F12" i="2"/>
  <c r="G12" i="2" s="1"/>
  <c r="J12" i="2" s="1"/>
  <c r="K11" i="2"/>
  <c r="L11" i="2" s="1"/>
  <c r="F11" i="2"/>
  <c r="G11" i="2" s="1"/>
  <c r="J11" i="2" s="1"/>
  <c r="K10" i="2"/>
  <c r="L10" i="2" s="1"/>
  <c r="F10" i="2"/>
  <c r="G10" i="2" s="1"/>
  <c r="J10" i="2" s="1"/>
  <c r="K9" i="2"/>
  <c r="L9" i="2" s="1"/>
  <c r="F9" i="2"/>
  <c r="G9" i="2" s="1"/>
  <c r="J9" i="2" s="1"/>
  <c r="K8" i="2"/>
  <c r="L8" i="2" s="1"/>
  <c r="F8" i="2"/>
  <c r="G8" i="2" s="1"/>
  <c r="J8" i="2" s="1"/>
  <c r="K7" i="2"/>
  <c r="L7" i="2" s="1"/>
  <c r="F7" i="2"/>
  <c r="G7" i="2" s="1"/>
  <c r="J7" i="2" s="1"/>
  <c r="K6" i="2"/>
  <c r="L6" i="2" s="1"/>
  <c r="F6" i="2"/>
  <c r="G6" i="2" s="1"/>
  <c r="J6" i="2" s="1"/>
  <c r="K5" i="2"/>
  <c r="L5" i="2" s="1"/>
  <c r="F5" i="2"/>
  <c r="G5" i="2" s="1"/>
  <c r="J5" i="2" s="1"/>
  <c r="K4" i="2"/>
  <c r="L4" i="2" s="1"/>
  <c r="F4" i="2"/>
  <c r="G4" i="2" s="1"/>
  <c r="J4" i="2" s="1"/>
  <c r="K3" i="2"/>
  <c r="L3" i="2" s="1"/>
  <c r="F3" i="2"/>
  <c r="G3" i="2" s="1"/>
  <c r="J3" i="2" s="1"/>
  <c r="D5" i="1"/>
  <c r="D4" i="1"/>
  <c r="H3" i="1"/>
  <c r="D3" i="1"/>
  <c r="H2" i="1"/>
  <c r="D2" i="1"/>
  <c r="I3" i="1" l="1"/>
  <c r="I2" i="1"/>
  <c r="J2" i="1" s="1"/>
  <c r="J3" i="1"/>
  <c r="P3" i="2"/>
  <c r="P7" i="2"/>
  <c r="O3" i="2"/>
  <c r="O7" i="2"/>
  <c r="O6" i="2"/>
  <c r="P4" i="2"/>
  <c r="O4" i="2"/>
  <c r="P6" i="2"/>
  <c r="Q4" i="2" l="1"/>
  <c r="Q6" i="2"/>
  <c r="Q3" i="2"/>
  <c r="Q7" i="2" l="1"/>
  <c r="Q5" i="2" s="1"/>
</calcChain>
</file>

<file path=xl/sharedStrings.xml><?xml version="1.0" encoding="utf-8"?>
<sst xmlns="http://schemas.openxmlformats.org/spreadsheetml/2006/main" count="228" uniqueCount="74">
  <si>
    <t>Fisktegund</t>
  </si>
  <si>
    <t>Ástand</t>
  </si>
  <si>
    <t>Magn (t)</t>
  </si>
  <si>
    <t>Óslægt magn (t)</t>
  </si>
  <si>
    <t>Verðmæti (mkr)</t>
  </si>
  <si>
    <t>Verðmæti ISK</t>
  </si>
  <si>
    <t>Óslægt magn kg</t>
  </si>
  <si>
    <t>Meðalverð</t>
  </si>
  <si>
    <t>Þorskur</t>
  </si>
  <si>
    <t>Slægt</t>
  </si>
  <si>
    <t>Óslægt</t>
  </si>
  <si>
    <t>Ýsa</t>
  </si>
  <si>
    <t>Gögn frá norsku fiskistofunni</t>
  </si>
  <si>
    <t>NOK</t>
  </si>
  <si>
    <t>Gögn frá Fiskistofu</t>
  </si>
  <si>
    <t>Aflahlutfall</t>
  </si>
  <si>
    <t>Meðalverð til veiðigjalds</t>
  </si>
  <si>
    <t>Landingsmåned</t>
  </si>
  <si>
    <t>Art - gruppe</t>
  </si>
  <si>
    <t>Fangstverdi (1000 kr)</t>
  </si>
  <si>
    <t>Rundvekt (tonn)</t>
  </si>
  <si>
    <t>Meðalverð NOK</t>
  </si>
  <si>
    <t>Meðalverð ISK</t>
  </si>
  <si>
    <t>Aflamagn íslenskra skipa kg</t>
  </si>
  <si>
    <t>Stuðull</t>
  </si>
  <si>
    <t>Hlutfall</t>
  </si>
  <si>
    <t>Veiðitímabil</t>
  </si>
  <si>
    <t>Kolmunni</t>
  </si>
  <si>
    <t>Januar</t>
  </si>
  <si>
    <t>Kolmule</t>
  </si>
  <si>
    <t>Februar</t>
  </si>
  <si>
    <t>Makríll</t>
  </si>
  <si>
    <t>Mars</t>
  </si>
  <si>
    <t>Síld</t>
  </si>
  <si>
    <t>April</t>
  </si>
  <si>
    <t>Norsk-íslensk síld</t>
  </si>
  <si>
    <t>Mai</t>
  </si>
  <si>
    <t>Íslensk sumargotssíld</t>
  </si>
  <si>
    <t>Juni</t>
  </si>
  <si>
    <t>Juli</t>
  </si>
  <si>
    <t>August</t>
  </si>
  <si>
    <t>September</t>
  </si>
  <si>
    <t>Oktober</t>
  </si>
  <si>
    <t>November</t>
  </si>
  <si>
    <t>Desember</t>
  </si>
  <si>
    <t>Makrell</t>
  </si>
  <si>
    <t>Sild, norsk vårgytende</t>
  </si>
  <si>
    <t>1.1.2024 til 31.12.2024</t>
  </si>
  <si>
    <t>Markaðir</t>
  </si>
  <si>
    <t>Þorskur eða ýsa</t>
  </si>
  <si>
    <t>Slægt eða óslægt</t>
  </si>
  <si>
    <t>All</t>
  </si>
  <si>
    <t>Mánaðarlegt meðalverð | Verðlagsstofa</t>
  </si>
  <si>
    <t>Dagsetning</t>
  </si>
  <si>
    <t>Tengill</t>
  </si>
  <si>
    <t>Sölutegund</t>
  </si>
  <si>
    <t>Tímabil</t>
  </si>
  <si>
    <t>Landsvæði</t>
  </si>
  <si>
    <t>Veiðarfæri</t>
  </si>
  <si>
    <t xml:space="preserve"> Ráðstöfun</t>
  </si>
  <si>
    <t>Forsendur gagnasöfnunar</t>
  </si>
  <si>
    <t>Fangst fordelt på måned | Fiskeridirektoratet</t>
  </si>
  <si>
    <t>Flipi</t>
  </si>
  <si>
    <t>siste 4 år</t>
  </si>
  <si>
    <t>Sild, norsk vårgytende, Kolmule og Makrell</t>
  </si>
  <si>
    <t>Fartøynasjonalitet gruppe</t>
  </si>
  <si>
    <t>Periode</t>
  </si>
  <si>
    <t>Fangstår</t>
  </si>
  <si>
    <t>Art – hovedgruppe</t>
  </si>
  <si>
    <t>Art – gruppe</t>
  </si>
  <si>
    <t>Art</t>
  </si>
  <si>
    <t>Statistikkvariabel</t>
  </si>
  <si>
    <t>Pelagisk Fisk</t>
  </si>
  <si>
    <t>Landingsmåned og 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</si>
</sst>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rgb="FF44B3E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44B3E1"/>
      </top>
      <bottom style="thin">
        <color rgb="FF44B3E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2" fillId="0" borderId="4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0" fontId="0" fillId="0" borderId="0" xfId="1" applyNumberFormat="1" applyFont="1" applyAlignment="1">
      <alignment horizontal="left"/>
    </xf>
    <xf numFmtId="0" fontId="2" fillId="0" borderId="0" xfId="0" applyFont="1"/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0" fillId="0" borderId="5" xfId="0" applyBorder="1"/>
    <xf numFmtId="3" fontId="0" fillId="0" borderId="8" xfId="0" applyNumberFormat="1" applyBorder="1"/>
    <xf numFmtId="164" fontId="0" fillId="0" borderId="5" xfId="0" applyNumberFormat="1" applyBorder="1"/>
    <xf numFmtId="3" fontId="0" fillId="0" borderId="5" xfId="0" applyNumberFormat="1" applyBorder="1"/>
    <xf numFmtId="0" fontId="4" fillId="3" borderId="0" xfId="0" applyFont="1" applyFill="1" applyAlignment="1">
      <alignment horizontal="left" vertical="top"/>
    </xf>
    <xf numFmtId="0" fontId="4" fillId="3" borderId="6" xfId="0" applyFont="1" applyFill="1" applyBorder="1" applyAlignment="1">
      <alignment vertical="top"/>
    </xf>
    <xf numFmtId="3" fontId="4" fillId="3" borderId="0" xfId="0" applyNumberFormat="1" applyFont="1" applyFill="1" applyAlignment="1">
      <alignment vertical="center"/>
    </xf>
    <xf numFmtId="3" fontId="4" fillId="3" borderId="7" xfId="0" applyNumberFormat="1" applyFont="1" applyFill="1" applyBorder="1" applyAlignment="1">
      <alignment vertical="center"/>
    </xf>
    <xf numFmtId="10" fontId="0" fillId="0" borderId="0" xfId="1" applyNumberFormat="1" applyFont="1"/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vertical="top"/>
    </xf>
    <xf numFmtId="3" fontId="4" fillId="0" borderId="0" xfId="0" applyNumberFormat="1" applyFont="1" applyAlignment="1">
      <alignment vertical="center"/>
    </xf>
    <xf numFmtId="3" fontId="4" fillId="0" borderId="7" xfId="0" applyNumberFormat="1" applyFont="1" applyBorder="1" applyAlignment="1">
      <alignment vertical="center"/>
    </xf>
    <xf numFmtId="2" fontId="2" fillId="0" borderId="0" xfId="1" applyNumberFormat="1" applyFont="1"/>
    <xf numFmtId="0" fontId="0" fillId="0" borderId="0" xfId="0" applyAlignment="1">
      <alignment horizontal="left" indent="1"/>
    </xf>
    <xf numFmtId="2" fontId="2" fillId="0" borderId="0" xfId="0" applyNumberFormat="1" applyFont="1"/>
    <xf numFmtId="0" fontId="4" fillId="0" borderId="6" xfId="0" applyFont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4" fillId="0" borderId="7" xfId="0" applyFont="1" applyBorder="1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4" fillId="3" borderId="0" xfId="0" applyFont="1" applyFill="1" applyAlignment="1">
      <alignment vertical="center"/>
    </xf>
    <xf numFmtId="0" fontId="4" fillId="3" borderId="7" xfId="0" applyFont="1" applyFill="1" applyBorder="1" applyAlignment="1">
      <alignment vertical="center"/>
    </xf>
    <xf numFmtId="10" fontId="0" fillId="0" borderId="0" xfId="0" applyNumberFormat="1" applyAlignment="1">
      <alignment vertical="center" wrapText="1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3" fontId="4" fillId="0" borderId="11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" fontId="0" fillId="0" borderId="13" xfId="0" applyNumberFormat="1" applyBorder="1"/>
    <xf numFmtId="10" fontId="0" fillId="0" borderId="0" xfId="1" applyNumberFormat="1" applyFont="1" applyBorder="1"/>
    <xf numFmtId="0" fontId="6" fillId="0" borderId="0" xfId="2"/>
    <xf numFmtId="0" fontId="5" fillId="0" borderId="0" xfId="0" applyFont="1" applyAlignment="1">
      <alignment vertical="center"/>
    </xf>
    <xf numFmtId="0" fontId="0" fillId="0" borderId="0" xfId="0" applyAlignment="1"/>
    <xf numFmtId="0" fontId="5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6" fillId="0" borderId="0" xfId="2" applyFill="1"/>
  </cellXfs>
  <cellStyles count="3">
    <cellStyle name="Hyperlink" xfId="2" builtinId="8"/>
    <cellStyle name="Normal" xfId="0" builtinId="0"/>
    <cellStyle name="Percent" xfId="1" builtinId="5"/>
  </cellStyles>
  <dxfs count="44">
    <dxf>
      <font>
        <b/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0" formatCode="General"/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164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3" formatCode="#,##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medium">
          <color indexed="64"/>
        </left>
        <right style="medium">
          <color indexed="64"/>
        </right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/>
        <top style="thin">
          <color rgb="FF44B3E1"/>
        </top>
        <bottom/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medium">
          <color indexed="64"/>
        </right>
        <top style="thin">
          <color rgb="FF44B3E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rgb="FF44B3E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rgb="FF44B3E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rgb="FF44B3E1"/>
        </top>
        <bottom style="thin">
          <color rgb="FF44B3E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left" vertical="top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rgb="FF44B3E1"/>
        </top>
        <bottom/>
      </border>
    </dxf>
    <dxf>
      <border outline="0">
        <top style="thin">
          <color rgb="FF44B3E1"/>
        </top>
      </border>
    </dxf>
    <dxf>
      <border outline="0">
        <bottom style="thin">
          <color rgb="FF44B3E1"/>
        </bottom>
      </border>
    </dxf>
    <dxf>
      <border outline="0"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</border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family val="2"/>
        <scheme val="minor"/>
      </font>
    </dxf>
    <dxf>
      <numFmt numFmtId="3" formatCode="#,##0"/>
    </dxf>
    <dxf>
      <numFmt numFmtId="3" formatCode="#,##0"/>
    </dxf>
    <dxf>
      <numFmt numFmtId="164" formatCode="#,##0.0"/>
    </dxf>
    <dxf>
      <numFmt numFmtId="164" formatCode="#,##0.0"/>
    </dxf>
    <dxf>
      <numFmt numFmtId="164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ublicadministrationis.sharepoint.com/sites/jnustuogupplsingasvi1-fisk/Shared%20Documents/Vei&#240;igjald/2025%20sko&#240;a%20n&#253;%20l&#246;g/&#218;treikningur%20ver&#240;s%20til%20vei&#240;igjalds.xlsx" TargetMode="External"/><Relationship Id="rId1" Type="http://schemas.openxmlformats.org/officeDocument/2006/relationships/externalLinkPath" Target="https://publicadministrationis.sharepoint.com/sites/jnustuogupplsingasvi1-fisk/Shared%20Documents/Vei&#240;igjald/2025%20sko&#240;a%20n&#253;%20l&#246;g/&#218;treikningur%20ver&#240;s%20til%20vei&#240;igja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Þorskur og ýsa"/>
      <sheetName val="Uppsjávarfiskur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C43D890-E8B5-4E5D-A3A1-39871074CA04}" name="Botnfiskur" displayName="Botnfiskur" ref="A1:E5" totalsRowShown="0">
  <autoFilter ref="A1:E5" xr:uid="{4C43D890-E8B5-4E5D-A3A1-39871074CA04}"/>
  <tableColumns count="5">
    <tableColumn id="1" xr3:uid="{C1B44924-1FFF-482F-A2E2-74416A52F4FE}" name="Fisktegund"/>
    <tableColumn id="2" xr3:uid="{26E52CCD-FB0E-4477-8E64-90A32DDDC257}" name="Ástand"/>
    <tableColumn id="3" xr3:uid="{7D348B81-72D3-47B0-81DC-3AEAE6D6EC9F}" name="Magn (t)" dataDxfId="43"/>
    <tableColumn id="4" xr3:uid="{8586C046-A909-4A22-94A5-43F0866C4FDA}" name="Óslægt magn (t)" dataDxfId="42">
      <calculatedColumnFormula>IF(B2="Slægt",C2/0.84,C2)</calculatedColumnFormula>
    </tableColumn>
    <tableColumn id="5" xr3:uid="{40A5DFF5-246F-406C-AB61-ADE17DE112DC}" name="Verðmæti (mkr)" dataDxfId="4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5AD2CB-EB32-4EA8-A798-4D1C903642F0}" name="Botnfiskur_verd" displayName="Botnfiskur_verd" ref="G1:J3" totalsRowShown="0">
  <autoFilter ref="G1:J3" xr:uid="{8B5AD2CB-EB32-4EA8-A798-4D1C903642F0}"/>
  <tableColumns count="4">
    <tableColumn id="1" xr3:uid="{B196FF2C-658E-4839-B211-F38718B5DBD3}" name="Fisktegund"/>
    <tableColumn id="2" xr3:uid="{7DF2CC61-83C2-4B11-A416-CD05403233F0}" name="Verðmæti ISK" dataDxfId="40">
      <calculatedColumnFormula>(E3+E4)*1000000</calculatedColumnFormula>
    </tableColumn>
    <tableColumn id="3" xr3:uid="{BB120660-1C7B-4020-B402-9A5E73970C0C}" name="Óslægt magn kg" dataDxfId="39">
      <calculatedColumnFormula>(D3+D4)*1000</calculatedColumnFormula>
    </tableColumn>
    <tableColumn id="4" xr3:uid="{995BF673-0639-4427-B9D5-17190B1D4DEA}" name="Meðalverð">
      <calculatedColumnFormula>ROUND(H2/I2,2)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4B0DEB-FCD0-4503-9DEC-D1366204DF0C}" name="Uppsjavarfiskur2" displayName="Uppsjavarfiskur2" ref="A2:L50" headerRowDxfId="38" dataDxfId="37" headerRowBorderDxfId="35" tableBorderDxfId="36" totalsRowBorderDxfId="34">
  <autoFilter ref="A2:L50" xr:uid="{9A4B0DEB-FCD0-4503-9DEC-D1366204DF0C}"/>
  <tableColumns count="12">
    <tableColumn id="12" xr3:uid="{589333D2-8CC4-4903-B56D-3B657292F332}" name="Fisktegund" totalsRowLabel="Total" dataDxfId="32" totalsRowDxfId="33"/>
    <tableColumn id="1" xr3:uid="{F2BC5495-CE8E-467F-9971-968CCD1ED724}" name="Landingsmåned" dataDxfId="30" totalsRowDxfId="31"/>
    <tableColumn id="2" xr3:uid="{E6FE7FDD-F80F-41C0-9986-65991ABCCAF8}" name="Art - gruppe" dataDxfId="28" totalsRowDxfId="29"/>
    <tableColumn id="3" xr3:uid="{FE301890-ABEE-46EC-A345-BBFDA449CEE1}" name="Fangstverdi (1000 kr)" dataDxfId="26" totalsRowDxfId="27"/>
    <tableColumn id="4" xr3:uid="{E3BECD70-024C-4877-9ED7-A6AD6520E530}" name="Rundvekt (tonn)" dataDxfId="24" totalsRowDxfId="25"/>
    <tableColumn id="5" xr3:uid="{43520D5A-CB1D-4760-8A3C-E3E4261CC57C}" name="Meðalverð NOK" dataDxfId="22" totalsRowDxfId="23">
      <calculatedColumnFormula>Uppsjavarfiskur2[[#This Row],[Fangstverdi (1000 kr)]]/Uppsjavarfiskur2[[#This Row],[Rundvekt (tonn)]]</calculatedColumnFormula>
    </tableColumn>
    <tableColumn id="6" xr3:uid="{8964E499-9475-40C5-A821-F467E6747F5A}" name="Meðalverð ISK" dataDxfId="20" totalsRowDxfId="21">
      <calculatedColumnFormula>Uppsjavarfiskur2[[#This Row],[Meðalverð NOK]]*$G$1</calculatedColumnFormula>
    </tableColumn>
    <tableColumn id="7" xr3:uid="{319DEA65-E2CD-42A0-871B-3E74626E056F}" name="Aflamagn íslenskra skipa kg" dataDxfId="18" totalsRowDxfId="19"/>
    <tableColumn id="11" xr3:uid="{B82228FB-4A7F-4BAE-9ECE-F03E0E51011A}" name="Stuðull" dataDxfId="16" totalsRowDxfId="17"/>
    <tableColumn id="10" xr3:uid="{85C29A86-8C0D-4CC6-8CE4-35869452ECB8}" name="Verðmæti ISK" dataDxfId="14" totalsRowDxfId="15">
      <calculatedColumnFormula>Uppsjavarfiskur2[[#This Row],[Aflamagn íslenskra skipa kg]]*(Uppsjavarfiskur2[[#This Row],[Meðalverð ISK]]*Uppsjavarfiskur2[[#This Row],[Stuðull]])</calculatedColumnFormula>
    </tableColumn>
    <tableColumn id="8" xr3:uid="{6DC3B47A-7D98-4CDE-9EF9-09AA39D89CD3}" name="Hlutfall" dataDxfId="12" totalsRowDxfId="13" dataCellStyle="Percent">
      <calculatedColumnFormula>Uppsjavarfiskur2[[#This Row],[Aflamagn íslenskra skipa kg]]/SUMIF(Uppsjavarfiskur2[Fisktegund],Uppsjavarfiskur2[[#This Row],[Fisktegund]],Uppsjavarfiskur2[Aflamagn íslenskra skipa kg])</calculatedColumnFormula>
    </tableColumn>
    <tableColumn id="9" xr3:uid="{610518A2-1F58-457C-A12C-1F5C5A58F5D3}" name="Veiðitímabil" totalsRowFunction="count" dataDxfId="10" totalsRowDxfId="11">
      <calculatedColumnFormula>IF(Uppsjavarfiskur2[[#This Row],[Hlutfall]]&gt;=$L$1,"Já","Nei")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FCFD103-B466-4915-A0E4-76D7B0A10157}" name="Uppsjavarfiskur_verd3" displayName="Uppsjavarfiskur_verd3" ref="N2:Q7" headerRowDxfId="9" dataDxfId="8" totalsRowDxfId="7">
  <autoFilter ref="N2:Q7" xr:uid="{2FCFD103-B466-4915-A0E4-76D7B0A10157}"/>
  <tableColumns count="4">
    <tableColumn id="1" xr3:uid="{A67FC496-EB90-4AE0-912B-BEB4BE9A258C}" name="Fisktegund" totalsRowLabel="Total" dataDxfId="5" totalsRowDxfId="6"/>
    <tableColumn id="2" xr3:uid="{62FA291D-90C8-4DE5-A0BA-217D42E6F7D8}" name="Verðmæti ISK" dataDxfId="3" totalsRowDxfId="4">
      <calculatedColumnFormula>SUMIFS([1]!Uppsjavarfiskur2[Verðmæti ISK],[1]!Uppsjavarfiskur2[Veiðitímabil],"Já",[1]!Uppsjavarfiskur2[Fisktegund],Uppsjavarfiskur_verd3[[#This Row],[Fisktegund]])</calculatedColumnFormula>
    </tableColumn>
    <tableColumn id="6" xr3:uid="{BEE1DAF9-F6EF-4ACB-8D9B-DFA43ADF6EAE}" name="Óslægt magn kg" dataDxfId="1" totalsRowDxfId="2">
      <calculatedColumnFormula>SUMIFS([1]!Uppsjavarfiskur2[Aflamagn íslenskra skipa kg],[1]!Uppsjavarfiskur2[Veiðitímabil],"Já",[1]!Uppsjavarfiskur2[Fisktegund],Uppsjavarfiskur_verd3[[#This Row],[Fisktegund]])</calculatedColumnFormula>
    </tableColumn>
    <tableColumn id="4" xr3:uid="{8171C460-D5C7-4CCF-8314-C2A10466AA8B}" name="Meðalverð" dataDxfId="0">
      <calculatedColumnFormula>ROUND(Uppsjavarfiskur_verd3[[#This Row],[Verðmæti ISK]]/Uppsjavarfiskur_verd3[[#This Row],[Óslægt magn kg]],2)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hyperlink" Target="https://www.verdlagsstofa.is/is/fiskverd/fiskver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hyperlink" Target="https://www.fiskeridir.no/statistikk-tall-og-analyse/data-og-statistikk-om-yrkesfiske/fangst/fangst-fordelt-pa-man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FB86-20F0-4DA4-A5D7-B1B54A0AAEF1}">
  <dimension ref="A1:J16"/>
  <sheetViews>
    <sheetView tabSelected="1" workbookViewId="0"/>
  </sheetViews>
  <sheetFormatPr defaultRowHeight="15" x14ac:dyDescent="0.25"/>
  <cols>
    <col min="1" max="1" width="13.140625" bestFit="1" customWidth="1"/>
    <col min="2" max="2" width="10.140625" bestFit="1" customWidth="1"/>
    <col min="3" max="3" width="10.5703125" bestFit="1" customWidth="1"/>
    <col min="4" max="4" width="17.7109375" bestFit="1" customWidth="1"/>
    <col min="5" max="5" width="17.5703125" bestFit="1" customWidth="1"/>
    <col min="8" max="8" width="15.5703125" bestFit="1" customWidth="1"/>
    <col min="9" max="9" width="17.57031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0</v>
      </c>
      <c r="H1" t="s">
        <v>5</v>
      </c>
      <c r="I1" t="s">
        <v>6</v>
      </c>
      <c r="J1" t="s">
        <v>7</v>
      </c>
    </row>
    <row r="2" spans="1:10" x14ac:dyDescent="0.25">
      <c r="A2" t="s">
        <v>8</v>
      </c>
      <c r="B2" t="s">
        <v>9</v>
      </c>
      <c r="C2" s="1">
        <v>4699.8999999999996</v>
      </c>
      <c r="D2" s="1">
        <f>IF(B2="Slægt",C2/0.84,C2)</f>
        <v>5595.1190476190477</v>
      </c>
      <c r="E2" s="1">
        <v>2174.1</v>
      </c>
      <c r="G2" t="s">
        <v>8</v>
      </c>
      <c r="H2" s="2">
        <f>(E2+E3)*1000000</f>
        <v>14116400000</v>
      </c>
      <c r="I2" s="2">
        <f>(D2+D3)*1000</f>
        <v>31529419.047619049</v>
      </c>
      <c r="J2">
        <f>ROUND(H2/I2,2)</f>
        <v>447.72</v>
      </c>
    </row>
    <row r="3" spans="1:10" x14ac:dyDescent="0.25">
      <c r="A3" t="s">
        <v>8</v>
      </c>
      <c r="B3" t="s">
        <v>10</v>
      </c>
      <c r="C3" s="1">
        <v>25934.3</v>
      </c>
      <c r="D3" s="1">
        <f t="shared" ref="D3:D5" si="0">IF(B3="Slægt",C3/0.84,C3)</f>
        <v>25934.3</v>
      </c>
      <c r="E3" s="1">
        <v>11942.3</v>
      </c>
      <c r="G3" t="s">
        <v>11</v>
      </c>
      <c r="H3" s="2">
        <f>(E4+E5)*1000000</f>
        <v>5537100000</v>
      </c>
      <c r="I3" s="2">
        <f>(D4+D5)*1000</f>
        <v>23185371.428571425</v>
      </c>
      <c r="J3">
        <f>ROUND(H3/I3,2)</f>
        <v>238.82</v>
      </c>
    </row>
    <row r="4" spans="1:10" x14ac:dyDescent="0.25">
      <c r="A4" t="s">
        <v>11</v>
      </c>
      <c r="B4" t="s">
        <v>9</v>
      </c>
      <c r="C4" s="1">
        <v>9952.7999999999993</v>
      </c>
      <c r="D4" s="1">
        <f t="shared" si="0"/>
        <v>11848.571428571428</v>
      </c>
      <c r="E4" s="1">
        <v>2302.3000000000002</v>
      </c>
    </row>
    <row r="5" spans="1:10" x14ac:dyDescent="0.25">
      <c r="A5" t="s">
        <v>11</v>
      </c>
      <c r="B5" t="s">
        <v>10</v>
      </c>
      <c r="C5" s="1">
        <v>11336.8</v>
      </c>
      <c r="D5" s="1">
        <f t="shared" si="0"/>
        <v>11336.8</v>
      </c>
      <c r="E5" s="1">
        <v>3234.8</v>
      </c>
    </row>
    <row r="7" spans="1:10" x14ac:dyDescent="0.25">
      <c r="A7" s="11" t="s">
        <v>60</v>
      </c>
    </row>
    <row r="8" spans="1:10" x14ac:dyDescent="0.25">
      <c r="A8" t="s">
        <v>53</v>
      </c>
      <c r="B8" s="55">
        <v>45959</v>
      </c>
    </row>
    <row r="9" spans="1:10" x14ac:dyDescent="0.25">
      <c r="A9" t="s">
        <v>54</v>
      </c>
      <c r="B9" s="51" t="s">
        <v>52</v>
      </c>
    </row>
    <row r="10" spans="1:10" x14ac:dyDescent="0.25">
      <c r="A10" t="s">
        <v>56</v>
      </c>
      <c r="B10" t="s">
        <v>47</v>
      </c>
    </row>
    <row r="11" spans="1:10" x14ac:dyDescent="0.25">
      <c r="A11" t="s">
        <v>55</v>
      </c>
      <c r="B11" t="s">
        <v>48</v>
      </c>
    </row>
    <row r="12" spans="1:10" x14ac:dyDescent="0.25">
      <c r="A12" t="s">
        <v>0</v>
      </c>
      <c r="B12" t="s">
        <v>49</v>
      </c>
    </row>
    <row r="13" spans="1:10" x14ac:dyDescent="0.25">
      <c r="A13" t="s">
        <v>1</v>
      </c>
      <c r="B13" t="s">
        <v>50</v>
      </c>
    </row>
    <row r="14" spans="1:10" x14ac:dyDescent="0.25">
      <c r="A14" t="s">
        <v>57</v>
      </c>
      <c r="B14" t="s">
        <v>51</v>
      </c>
    </row>
    <row r="15" spans="1:10" x14ac:dyDescent="0.25">
      <c r="A15" t="s">
        <v>58</v>
      </c>
      <c r="B15" t="s">
        <v>51</v>
      </c>
    </row>
    <row r="16" spans="1:10" x14ac:dyDescent="0.25">
      <c r="A16" t="s">
        <v>59</v>
      </c>
      <c r="B16" t="s">
        <v>51</v>
      </c>
    </row>
  </sheetData>
  <hyperlinks>
    <hyperlink ref="B9" r:id="rId1" display="https://www.verdlagsstofa.is/is/fiskverd/fiskverd" xr:uid="{BF0821D0-ED12-4549-B530-BE505DF000BE}"/>
  </hyperlinks>
  <pageMargins left="0.7" right="0.7" top="0.75" bottom="0.75" header="0.3" footer="0.3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0BC9-CDD1-431E-895B-A89583DA684E}">
  <dimension ref="A1:S50"/>
  <sheetViews>
    <sheetView topLeftCell="G1" workbookViewId="0">
      <selection activeCell="N32" sqref="N32"/>
    </sheetView>
  </sheetViews>
  <sheetFormatPr defaultRowHeight="15" x14ac:dyDescent="0.25"/>
  <cols>
    <col min="1" max="1" width="20.7109375" bestFit="1" customWidth="1"/>
    <col min="2" max="2" width="17.5703125" bestFit="1" customWidth="1"/>
    <col min="3" max="3" width="20.42578125" bestFit="1" customWidth="1"/>
    <col min="4" max="4" width="24.28515625" bestFit="1" customWidth="1"/>
    <col min="5" max="5" width="20.28515625" bestFit="1" customWidth="1"/>
    <col min="6" max="6" width="17.28515625" bestFit="1" customWidth="1"/>
    <col min="7" max="7" width="16.140625" bestFit="1" customWidth="1"/>
    <col min="8" max="8" width="28.28515625" bestFit="1" customWidth="1"/>
    <col min="9" max="9" width="9.7109375" bestFit="1" customWidth="1"/>
    <col min="10" max="10" width="15.5703125" bestFit="1" customWidth="1"/>
    <col min="11" max="11" width="10.7109375" bestFit="1" customWidth="1"/>
    <col min="12" max="12" width="14.140625" bestFit="1" customWidth="1"/>
    <col min="14" max="14" width="25.7109375" bestFit="1" customWidth="1"/>
    <col min="15" max="15" width="15.5703125" bestFit="1" customWidth="1"/>
    <col min="16" max="16" width="17.5703125" bestFit="1" customWidth="1"/>
  </cols>
  <sheetData>
    <row r="1" spans="1:19" x14ac:dyDescent="0.25">
      <c r="B1" s="3" t="s">
        <v>12</v>
      </c>
      <c r="C1" s="4"/>
      <c r="D1" s="4"/>
      <c r="E1" s="5"/>
      <c r="F1" s="6" t="s">
        <v>13</v>
      </c>
      <c r="G1" s="7">
        <v>12.846</v>
      </c>
      <c r="H1" s="8" t="s">
        <v>14</v>
      </c>
      <c r="I1" s="9"/>
      <c r="K1" s="6" t="s">
        <v>15</v>
      </c>
      <c r="L1" s="10">
        <v>4.1700000000000001E-2</v>
      </c>
      <c r="N1" s="11" t="s">
        <v>16</v>
      </c>
    </row>
    <row r="2" spans="1:19" x14ac:dyDescent="0.25">
      <c r="A2" s="12" t="s">
        <v>0</v>
      </c>
      <c r="B2" s="13" t="s">
        <v>17</v>
      </c>
      <c r="C2" s="14" t="s">
        <v>18</v>
      </c>
      <c r="D2" s="15" t="s">
        <v>19</v>
      </c>
      <c r="E2" s="16" t="s">
        <v>20</v>
      </c>
      <c r="F2" s="17" t="s">
        <v>21</v>
      </c>
      <c r="G2" s="17" t="s">
        <v>22</v>
      </c>
      <c r="H2" s="18" t="s">
        <v>23</v>
      </c>
      <c r="I2" s="19" t="s">
        <v>24</v>
      </c>
      <c r="J2" s="20" t="s">
        <v>5</v>
      </c>
      <c r="K2" s="17" t="s">
        <v>25</v>
      </c>
      <c r="L2" s="17" t="s">
        <v>26</v>
      </c>
      <c r="N2" t="s">
        <v>0</v>
      </c>
      <c r="O2" t="s">
        <v>5</v>
      </c>
      <c r="P2" t="s">
        <v>6</v>
      </c>
      <c r="Q2" t="s">
        <v>7</v>
      </c>
    </row>
    <row r="3" spans="1:19" x14ac:dyDescent="0.25">
      <c r="A3" s="21" t="s">
        <v>27</v>
      </c>
      <c r="B3" s="22" t="s">
        <v>28</v>
      </c>
      <c r="C3" s="21" t="s">
        <v>29</v>
      </c>
      <c r="D3" s="23">
        <v>65856</v>
      </c>
      <c r="E3" s="24">
        <v>16407</v>
      </c>
      <c r="F3">
        <f>Uppsjavarfiskur2[[#This Row],[Fangstverdi (1000 kr)]]/Uppsjavarfiskur2[[#This Row],[Rundvekt (tonn)]]</f>
        <v>4.0138965075882247</v>
      </c>
      <c r="G3">
        <f>Uppsjavarfiskur2[[#This Row],[Meðalverð NOK]]*$G$1</f>
        <v>51.562514536478332</v>
      </c>
      <c r="H3" s="18">
        <v>52178000</v>
      </c>
      <c r="I3" s="1">
        <v>1</v>
      </c>
      <c r="J3" s="2">
        <f>Uppsjavarfiskur2[[#This Row],[Aflamagn íslenskra skipa kg]]*(Uppsjavarfiskur2[[#This Row],[Meðalverð ISK]]*Uppsjavarfiskur2[[#This Row],[Stuðull]])</f>
        <v>2690428883.4843664</v>
      </c>
      <c r="K3" s="25">
        <f>Uppsjavarfiskur2[[#This Row],[Aflamagn íslenskra skipa kg]]/SUMIF(Uppsjavarfiskur2[Fisktegund],Uppsjavarfiskur2[[#This Row],[Fisktegund]],Uppsjavarfiskur2[Aflamagn íslenskra skipa kg])</f>
        <v>0.16226066567361905</v>
      </c>
      <c r="L3" t="str">
        <f>IF(Uppsjavarfiskur2[[#This Row],[Hlutfall]]&gt;=$L$1,"Já","Nei")</f>
        <v>Já</v>
      </c>
      <c r="N3" t="s">
        <v>27</v>
      </c>
      <c r="O3" s="2">
        <f>SUMIFS(Uppsjavarfiskur2[Verðmæti ISK],Uppsjavarfiskur2[Veiðitímabil],"Já",Uppsjavarfiskur2[Fisktegund],Uppsjavarfiskur_verd3[[#This Row],[Fisktegund]])</f>
        <v>14725365784.962137</v>
      </c>
      <c r="P3" s="2">
        <f>SUMIFS(Uppsjavarfiskur2[Aflamagn íslenskra skipa kg],Uppsjavarfiskur2[Veiðitímabil],"Já",Uppsjavarfiskur2[Fisktegund],Uppsjavarfiskur_verd3[[#This Row],[Fisktegund]])</f>
        <v>319608000</v>
      </c>
      <c r="Q3" s="11">
        <f>ROUND(Uppsjavarfiskur_verd3[[#This Row],[Verðmæti ISK]]/Uppsjavarfiskur_verd3[[#This Row],[Óslægt magn kg]],2)</f>
        <v>46.07</v>
      </c>
    </row>
    <row r="4" spans="1:19" x14ac:dyDescent="0.25">
      <c r="A4" s="26" t="s">
        <v>27</v>
      </c>
      <c r="B4" s="27" t="s">
        <v>30</v>
      </c>
      <c r="C4" s="26" t="s">
        <v>29</v>
      </c>
      <c r="D4" s="28">
        <v>702284</v>
      </c>
      <c r="E4" s="29">
        <v>196554</v>
      </c>
      <c r="F4">
        <f>Uppsjavarfiskur2[[#This Row],[Fangstverdi (1000 kr)]]/Uppsjavarfiskur2[[#This Row],[Rundvekt (tonn)]]</f>
        <v>3.5729824882729426</v>
      </c>
      <c r="G4">
        <f>Uppsjavarfiskur2[[#This Row],[Meðalverð NOK]]*$G$1</f>
        <v>45.898533044354224</v>
      </c>
      <c r="H4" s="18">
        <v>27154000</v>
      </c>
      <c r="I4" s="1">
        <v>1</v>
      </c>
      <c r="J4" s="2">
        <f>Uppsjavarfiskur2[[#This Row],[Aflamagn íslenskra skipa kg]]*(Uppsjavarfiskur2[[#This Row],[Meðalverð ISK]]*Uppsjavarfiskur2[[#This Row],[Stuðull]])</f>
        <v>1246328766.2863946</v>
      </c>
      <c r="K4" s="25">
        <f>Uppsjavarfiskur2[[#This Row],[Aflamagn íslenskra skipa kg]]/SUMIF(Uppsjavarfiskur2[Fisktegund],Uppsjavarfiskur2[[#This Row],[Fisktegund]],Uppsjavarfiskur2[Aflamagn íslenskra skipa kg])</f>
        <v>8.4442219243770392E-2</v>
      </c>
      <c r="L4" t="str">
        <f>IF(Uppsjavarfiskur2[[#This Row],[Hlutfall]]&gt;=$L$1,"Já","Nei")</f>
        <v>Já</v>
      </c>
      <c r="N4" t="s">
        <v>31</v>
      </c>
      <c r="O4" s="2">
        <f>SUMIFS(Uppsjavarfiskur2[Verðmæti ISK],Uppsjavarfiskur2[Veiðitímabil],"Já",Uppsjavarfiskur2[Fisktegund],Uppsjavarfiskur_verd3[[#This Row],[Fisktegund]])</f>
        <v>15807640977.661442</v>
      </c>
      <c r="P4" s="2">
        <f>SUMIFS(Uppsjavarfiskur2[Aflamagn íslenskra skipa kg],Uppsjavarfiskur2[Veiðitímabil],"Já",Uppsjavarfiskur2[Fisktegund],Uppsjavarfiskur_verd3[[#This Row],[Fisktegund]])</f>
        <v>87782249</v>
      </c>
      <c r="Q4" s="11">
        <f>ROUND(Uppsjavarfiskur_verd3[[#This Row],[Verðmæti ISK]]/Uppsjavarfiskur_verd3[[#This Row],[Óslægt magn kg]],2)</f>
        <v>180.08</v>
      </c>
    </row>
    <row r="5" spans="1:19" x14ac:dyDescent="0.25">
      <c r="A5" s="21" t="s">
        <v>27</v>
      </c>
      <c r="B5" s="22" t="s">
        <v>32</v>
      </c>
      <c r="C5" s="21" t="s">
        <v>29</v>
      </c>
      <c r="D5" s="23">
        <v>359412</v>
      </c>
      <c r="E5" s="24">
        <v>105049</v>
      </c>
      <c r="F5">
        <f>Uppsjavarfiskur2[[#This Row],[Fangstverdi (1000 kr)]]/Uppsjavarfiskur2[[#This Row],[Rundvekt (tonn)]]</f>
        <v>3.4213747870041598</v>
      </c>
      <c r="G5">
        <f>Uppsjavarfiskur2[[#This Row],[Meðalverð NOK]]*$G$1</f>
        <v>43.950980513855434</v>
      </c>
      <c r="H5" s="18">
        <v>18184000</v>
      </c>
      <c r="I5" s="1">
        <v>1</v>
      </c>
      <c r="J5" s="2">
        <f>Uppsjavarfiskur2[[#This Row],[Aflamagn íslenskra skipa kg]]*(Uppsjavarfiskur2[[#This Row],[Meðalverð ISK]]*Uppsjavarfiskur2[[#This Row],[Stuðull]])</f>
        <v>799204629.66394722</v>
      </c>
      <c r="K5" s="25">
        <f>Uppsjavarfiskur2[[#This Row],[Aflamagn íslenskra skipa kg]]/SUMIF(Uppsjavarfiskur2[Fisktegund],Uppsjavarfiskur2[[#This Row],[Fisktegund]],Uppsjavarfiskur2[Aflamagn íslenskra skipa kg])</f>
        <v>5.6547739365423906E-2</v>
      </c>
      <c r="L5" t="str">
        <f>IF(Uppsjavarfiskur2[[#This Row],[Hlutfall]]&gt;=$L$1,"Já","Nei")</f>
        <v>Já</v>
      </c>
      <c r="N5" t="s">
        <v>33</v>
      </c>
      <c r="O5" s="2"/>
      <c r="P5" s="2"/>
      <c r="Q5" s="30">
        <f>ROUND(Q6*(P6/(P6+P7))+Q7*(P7/(P6+P7)),2)</f>
        <v>92.91</v>
      </c>
    </row>
    <row r="6" spans="1:19" x14ac:dyDescent="0.25">
      <c r="A6" s="26" t="s">
        <v>27</v>
      </c>
      <c r="B6" s="27" t="s">
        <v>34</v>
      </c>
      <c r="C6" s="26" t="s">
        <v>29</v>
      </c>
      <c r="D6" s="28">
        <v>199989</v>
      </c>
      <c r="E6" s="29">
        <v>63249</v>
      </c>
      <c r="F6">
        <f>Uppsjavarfiskur2[[#This Row],[Fangstverdi (1000 kr)]]/Uppsjavarfiskur2[[#This Row],[Rundvekt (tonn)]]</f>
        <v>3.161931413935398</v>
      </c>
      <c r="G6">
        <f>Uppsjavarfiskur2[[#This Row],[Meðalverð NOK]]*$G$1</f>
        <v>40.618170943414121</v>
      </c>
      <c r="H6" s="18">
        <v>109367000</v>
      </c>
      <c r="I6" s="1">
        <v>1</v>
      </c>
      <c r="J6" s="2">
        <f>Uppsjavarfiskur2[[#This Row],[Aflamagn íslenskra skipa kg]]*(Uppsjavarfiskur2[[#This Row],[Meðalverð ISK]]*Uppsjavarfiskur2[[#This Row],[Stuðull]])</f>
        <v>4442287501.5683718</v>
      </c>
      <c r="K6" s="25">
        <f>Uppsjavarfiskur2[[#This Row],[Aflamagn íslenskra skipa kg]]/SUMIF(Uppsjavarfiskur2[Fisktegund],Uppsjavarfiskur2[[#This Row],[Fisktegund]],Uppsjavarfiskur2[Aflamagn íslenskra skipa kg])</f>
        <v>0.34010430109867557</v>
      </c>
      <c r="L6" t="str">
        <f>IF(Uppsjavarfiskur2[[#This Row],[Hlutfall]]&gt;=$L$1,"Já","Nei")</f>
        <v>Já</v>
      </c>
      <c r="N6" s="31" t="s">
        <v>35</v>
      </c>
      <c r="O6" s="2">
        <f>SUMIFS(Uppsjavarfiskur2[Verðmæti ISK],Uppsjavarfiskur2[Veiðitímabil],"Já",Uppsjavarfiskur2[Fisktegund],Uppsjavarfiskur_verd3[[#This Row],[Fisktegund]])</f>
        <v>5643758188.9986181</v>
      </c>
      <c r="P6" s="2">
        <f>SUMIFS(Uppsjavarfiskur2[Aflamagn íslenskra skipa kg],Uppsjavarfiskur2[Veiðitímabil],"Já",Uppsjavarfiskur2[Fisktegund],Uppsjavarfiskur_verd3[[#This Row],[Fisktegund]])</f>
        <v>57423000</v>
      </c>
      <c r="Q6" s="11">
        <f>ROUND(Uppsjavarfiskur_verd3[[#This Row],[Verðmæti ISK]]/Uppsjavarfiskur_verd3[[#This Row],[Óslægt magn kg]],2)</f>
        <v>98.28</v>
      </c>
    </row>
    <row r="7" spans="1:19" x14ac:dyDescent="0.25">
      <c r="A7" s="21" t="s">
        <v>27</v>
      </c>
      <c r="B7" s="22" t="s">
        <v>36</v>
      </c>
      <c r="C7" s="21" t="s">
        <v>29</v>
      </c>
      <c r="D7" s="23">
        <v>119273</v>
      </c>
      <c r="E7" s="24">
        <v>38521</v>
      </c>
      <c r="F7">
        <f>Uppsjavarfiskur2[[#This Row],[Fangstverdi (1000 kr)]]/Uppsjavarfiskur2[[#This Row],[Rundvekt (tonn)]]</f>
        <v>3.0963111030347084</v>
      </c>
      <c r="G7">
        <f>Uppsjavarfiskur2[[#This Row],[Meðalverð NOK]]*$G$1</f>
        <v>39.775212429583867</v>
      </c>
      <c r="H7" s="18">
        <v>37811000</v>
      </c>
      <c r="I7" s="1">
        <v>1</v>
      </c>
      <c r="J7" s="2">
        <f>Uppsjavarfiskur2[[#This Row],[Aflamagn íslenskra skipa kg]]*(Uppsjavarfiskur2[[#This Row],[Meðalverð ISK]]*Uppsjavarfiskur2[[#This Row],[Stuðull]])</f>
        <v>1503940557.1749957</v>
      </c>
      <c r="K7" s="25">
        <f>Uppsjavarfiskur2[[#This Row],[Aflamagn íslenskra skipa kg]]/SUMIF(Uppsjavarfiskur2[Fisktegund],Uppsjavarfiskur2[[#This Row],[Fisktegund]],Uppsjavarfiskur2[Aflamagn íslenskra skipa kg])</f>
        <v>0.11758285158084268</v>
      </c>
      <c r="L7" t="str">
        <f>IF(Uppsjavarfiskur2[[#This Row],[Hlutfall]]&gt;=$L$1,"Já","Nei")</f>
        <v>Já</v>
      </c>
      <c r="N7" s="31" t="s">
        <v>37</v>
      </c>
      <c r="O7" s="2">
        <f>SUMIFS(Uppsjavarfiskur2[Verðmæti ISK],Uppsjavarfiskur2[Veiðitímabil],"Já",Uppsjavarfiskur2[Fisktegund],Uppsjavarfiskur_verd3[[#This Row],[Fisktegund]])</f>
        <v>0</v>
      </c>
      <c r="P7" s="2">
        <f>SUMIFS(Uppsjavarfiskur2[Aflamagn íslenskra skipa kg],Uppsjavarfiskur2[Veiðitímabil],"Já",Uppsjavarfiskur2[Fisktegund],Uppsjavarfiskur_verd3[[#This Row],[Fisktegund]])</f>
        <v>69252000</v>
      </c>
      <c r="Q7" s="32">
        <f>Q6*0.9</f>
        <v>88.451999999999998</v>
      </c>
    </row>
    <row r="8" spans="1:19" x14ac:dyDescent="0.25">
      <c r="A8" s="26" t="s">
        <v>27</v>
      </c>
      <c r="B8" s="33" t="s">
        <v>38</v>
      </c>
      <c r="C8" s="26" t="s">
        <v>29</v>
      </c>
      <c r="D8" s="28">
        <v>23495</v>
      </c>
      <c r="E8" s="29">
        <v>7078</v>
      </c>
      <c r="F8">
        <f>Uppsjavarfiskur2[[#This Row],[Fangstverdi (1000 kr)]]/Uppsjavarfiskur2[[#This Row],[Rundvekt (tonn)]]</f>
        <v>3.3194405199208816</v>
      </c>
      <c r="G8">
        <f>Uppsjavarfiskur2[[#This Row],[Meðalverð NOK]]*$G$1</f>
        <v>42.641532918903643</v>
      </c>
      <c r="H8" s="18">
        <v>0</v>
      </c>
      <c r="I8" s="1">
        <v>1</v>
      </c>
      <c r="J8" s="2">
        <f>Uppsjavarfiskur2[[#This Row],[Aflamagn íslenskra skipa kg]]*(Uppsjavarfiskur2[[#This Row],[Meðalverð ISK]]*Uppsjavarfiskur2[[#This Row],[Stuðull]])</f>
        <v>0</v>
      </c>
      <c r="K8" s="25">
        <f>Uppsjavarfiskur2[[#This Row],[Aflamagn íslenskra skipa kg]]/SUMIF(Uppsjavarfiskur2[Fisktegund],Uppsjavarfiskur2[[#This Row],[Fisktegund]],Uppsjavarfiskur2[Aflamagn íslenskra skipa kg])</f>
        <v>0</v>
      </c>
      <c r="L8" t="str">
        <f>IF(Uppsjavarfiskur2[[#This Row],[Hlutfall]]&gt;=$L$1,"Já","Nei")</f>
        <v>Nei</v>
      </c>
    </row>
    <row r="9" spans="1:19" x14ac:dyDescent="0.25">
      <c r="A9" s="21" t="s">
        <v>27</v>
      </c>
      <c r="B9" s="34" t="s">
        <v>39</v>
      </c>
      <c r="C9" s="21" t="s">
        <v>29</v>
      </c>
      <c r="D9" s="23">
        <v>13172</v>
      </c>
      <c r="E9" s="24">
        <v>3716</v>
      </c>
      <c r="F9">
        <f>Uppsjavarfiskur2[[#This Row],[Fangstverdi (1000 kr)]]/Uppsjavarfiskur2[[#This Row],[Rundvekt (tonn)]]</f>
        <v>3.5446716899892357</v>
      </c>
      <c r="G9">
        <f>Uppsjavarfiskur2[[#This Row],[Meðalverð NOK]]*$G$1</f>
        <v>45.534852529601721</v>
      </c>
      <c r="H9" s="18">
        <v>978000</v>
      </c>
      <c r="I9" s="1">
        <v>1</v>
      </c>
      <c r="J9" s="2">
        <f>Uppsjavarfiskur2[[#This Row],[Aflamagn íslenskra skipa kg]]*(Uppsjavarfiskur2[[#This Row],[Meðalverð ISK]]*Uppsjavarfiskur2[[#This Row],[Stuðull]])</f>
        <v>44533085.77395048</v>
      </c>
      <c r="K9" s="25">
        <f>Uppsjavarfiskur2[[#This Row],[Aflamagn íslenskra skipa kg]]/SUMIF(Uppsjavarfiskur2[Fisktegund],Uppsjavarfiskur2[[#This Row],[Fisktegund]],Uppsjavarfiskur2[Aflamagn íslenskra skipa kg])</f>
        <v>3.0413379399133623E-3</v>
      </c>
      <c r="L9" t="str">
        <f>IF(Uppsjavarfiskur2[[#This Row],[Hlutfall]]&gt;=$L$1,"Já","Nei")</f>
        <v>Nei</v>
      </c>
      <c r="N9" s="11" t="s">
        <v>60</v>
      </c>
    </row>
    <row r="10" spans="1:19" x14ac:dyDescent="0.25">
      <c r="A10" s="26" t="s">
        <v>27</v>
      </c>
      <c r="B10" s="33" t="s">
        <v>40</v>
      </c>
      <c r="C10" s="26" t="s">
        <v>29</v>
      </c>
      <c r="D10" s="28">
        <v>12797</v>
      </c>
      <c r="E10" s="29">
        <v>3696</v>
      </c>
      <c r="F10">
        <f>Uppsjavarfiskur2[[#This Row],[Fangstverdi (1000 kr)]]/Uppsjavarfiskur2[[#This Row],[Rundvekt (tonn)]]</f>
        <v>3.462391774891775</v>
      </c>
      <c r="G10">
        <f>Uppsjavarfiskur2[[#This Row],[Meðalverð NOK]]*$G$1</f>
        <v>44.477884740259739</v>
      </c>
      <c r="H10" s="18">
        <v>883000</v>
      </c>
      <c r="I10" s="1">
        <v>1</v>
      </c>
      <c r="J10" s="2">
        <f>Uppsjavarfiskur2[[#This Row],[Aflamagn íslenskra skipa kg]]*(Uppsjavarfiskur2[[#This Row],[Meðalverð ISK]]*Uppsjavarfiskur2[[#This Row],[Stuðull]])</f>
        <v>39273972.225649349</v>
      </c>
      <c r="K10" s="25">
        <f>Uppsjavarfiskur2[[#This Row],[Aflamagn íslenskra skipa kg]]/SUMIF(Uppsjavarfiskur2[Fisktegund],Uppsjavarfiskur2[[#This Row],[Fisktegund]],Uppsjavarfiskur2[Aflamagn íslenskra skipa kg])</f>
        <v>2.745911452907463E-3</v>
      </c>
      <c r="L10" t="str">
        <f>IF(Uppsjavarfiskur2[[#This Row],[Hlutfall]]&gt;=$L$1,"Já","Nei")</f>
        <v>Nei</v>
      </c>
      <c r="M10" s="56"/>
      <c r="N10" s="56" t="s">
        <v>53</v>
      </c>
      <c r="O10" s="57">
        <v>45964</v>
      </c>
      <c r="P10" s="56"/>
      <c r="Q10" s="56"/>
    </row>
    <row r="11" spans="1:19" x14ac:dyDescent="0.25">
      <c r="A11" s="21" t="s">
        <v>27</v>
      </c>
      <c r="B11" s="34" t="s">
        <v>41</v>
      </c>
      <c r="C11" s="21" t="s">
        <v>29</v>
      </c>
      <c r="D11" s="23">
        <v>13098</v>
      </c>
      <c r="E11" s="24">
        <v>3762</v>
      </c>
      <c r="F11">
        <f>Uppsjavarfiskur2[[#This Row],[Fangstverdi (1000 kr)]]/Uppsjavarfiskur2[[#This Row],[Rundvekt (tonn)]]</f>
        <v>3.4816586921850079</v>
      </c>
      <c r="G11">
        <f>Uppsjavarfiskur2[[#This Row],[Meðalverð NOK]]*$G$1</f>
        <v>44.72538755980861</v>
      </c>
      <c r="H11" s="18">
        <v>100000</v>
      </c>
      <c r="I11" s="1">
        <v>1</v>
      </c>
      <c r="J11" s="2">
        <f>Uppsjavarfiskur2[[#This Row],[Aflamagn íslenskra skipa kg]]*(Uppsjavarfiskur2[[#This Row],[Meðalverð ISK]]*Uppsjavarfiskur2[[#This Row],[Stuðull]])</f>
        <v>4472538.7559808614</v>
      </c>
      <c r="K11" s="25">
        <f>Uppsjavarfiskur2[[#This Row],[Aflamagn íslenskra skipa kg]]/SUMIF(Uppsjavarfiskur2[Fisktegund],Uppsjavarfiskur2[[#This Row],[Fisktegund]],Uppsjavarfiskur2[Aflamagn íslenskra skipa kg])</f>
        <v>3.1097524947989389E-4</v>
      </c>
      <c r="L11" t="str">
        <f>IF(Uppsjavarfiskur2[[#This Row],[Hlutfall]]&gt;=$L$1,"Já","Nei")</f>
        <v>Nei</v>
      </c>
      <c r="M11" s="56"/>
      <c r="N11" s="56" t="s">
        <v>54</v>
      </c>
      <c r="O11" s="58" t="s">
        <v>61</v>
      </c>
      <c r="P11" s="56"/>
      <c r="Q11" s="56"/>
    </row>
    <row r="12" spans="1:19" x14ac:dyDescent="0.25">
      <c r="A12" s="26" t="s">
        <v>27</v>
      </c>
      <c r="B12" s="33" t="s">
        <v>42</v>
      </c>
      <c r="C12" s="26" t="s">
        <v>29</v>
      </c>
      <c r="D12" s="28">
        <v>14557</v>
      </c>
      <c r="E12" s="29">
        <v>4198</v>
      </c>
      <c r="F12">
        <f>Uppsjavarfiskur2[[#This Row],[Fangstverdi (1000 kr)]]/Uppsjavarfiskur2[[#This Row],[Rundvekt (tonn)]]</f>
        <v>3.4676036207717962</v>
      </c>
      <c r="G12">
        <f>Uppsjavarfiskur2[[#This Row],[Meðalverð NOK]]*$G$1</f>
        <v>44.544836112434496</v>
      </c>
      <c r="H12" s="18">
        <v>34346000</v>
      </c>
      <c r="I12" s="1">
        <v>1</v>
      </c>
      <c r="J12" s="2">
        <f>Uppsjavarfiskur2[[#This Row],[Aflamagn íslenskra skipa kg]]*(Uppsjavarfiskur2[[#This Row],[Meðalverð ISK]]*Uppsjavarfiskur2[[#This Row],[Stuðull]])</f>
        <v>1529936941.1176753</v>
      </c>
      <c r="K12" s="25">
        <f>Uppsjavarfiskur2[[#This Row],[Aflamagn íslenskra skipa kg]]/SUMIF(Uppsjavarfiskur2[Fisktegund],Uppsjavarfiskur2[[#This Row],[Fisktegund]],Uppsjavarfiskur2[Aflamagn íslenskra skipa kg])</f>
        <v>0.10680755918636435</v>
      </c>
      <c r="L12" t="str">
        <f>IF(Uppsjavarfiskur2[[#This Row],[Hlutfall]]&gt;=$L$1,"Já","Nei")</f>
        <v>Já</v>
      </c>
      <c r="N12" t="s">
        <v>62</v>
      </c>
      <c r="O12" t="s">
        <v>73</v>
      </c>
    </row>
    <row r="13" spans="1:19" x14ac:dyDescent="0.25">
      <c r="A13" s="21" t="s">
        <v>27</v>
      </c>
      <c r="B13" s="34" t="s">
        <v>43</v>
      </c>
      <c r="C13" s="21" t="s">
        <v>29</v>
      </c>
      <c r="D13" s="23">
        <v>45899</v>
      </c>
      <c r="E13" s="24">
        <v>10229</v>
      </c>
      <c r="F13">
        <f>Uppsjavarfiskur2[[#This Row],[Fangstverdi (1000 kr)]]/Uppsjavarfiskur2[[#This Row],[Rundvekt (tonn)]]</f>
        <v>4.487144393391338</v>
      </c>
      <c r="G13">
        <f>Uppsjavarfiskur2[[#This Row],[Meðalverð NOK]]*$G$1</f>
        <v>57.641856877505127</v>
      </c>
      <c r="H13" s="18">
        <v>23551000</v>
      </c>
      <c r="I13" s="1">
        <v>1</v>
      </c>
      <c r="J13" s="2">
        <f>Uppsjavarfiskur2[[#This Row],[Aflamagn íslenskra skipa kg]]*(Uppsjavarfiskur2[[#This Row],[Meðalverð ISK]]*Uppsjavarfiskur2[[#This Row],[Stuðull]])</f>
        <v>1357523371.3221233</v>
      </c>
      <c r="K13" s="25">
        <f>Uppsjavarfiskur2[[#This Row],[Aflamagn íslenskra skipa kg]]/SUMIF(Uppsjavarfiskur2[Fisktegund],Uppsjavarfiskur2[[#This Row],[Fisktegund]],Uppsjavarfiskur2[Aflamagn íslenskra skipa kg])</f>
        <v>7.3237781005009814E-2</v>
      </c>
      <c r="L13" t="str">
        <f>IF(Uppsjavarfiskur2[[#This Row],[Hlutfall]]&gt;=$L$1,"Já","Nei")</f>
        <v>Já</v>
      </c>
      <c r="N13" s="54" t="s">
        <v>65</v>
      </c>
      <c r="O13" s="52" t="s">
        <v>51</v>
      </c>
      <c r="P13" s="53"/>
      <c r="Q13" s="53"/>
      <c r="R13" s="53"/>
      <c r="S13" s="53"/>
    </row>
    <row r="14" spans="1:19" x14ac:dyDescent="0.25">
      <c r="A14" s="26" t="s">
        <v>27</v>
      </c>
      <c r="B14" s="33" t="s">
        <v>44</v>
      </c>
      <c r="C14" s="26" t="s">
        <v>29</v>
      </c>
      <c r="D14" s="28">
        <v>1935</v>
      </c>
      <c r="E14" s="35">
        <v>366</v>
      </c>
      <c r="F14">
        <f>Uppsjavarfiskur2[[#This Row],[Fangstverdi (1000 kr)]]/Uppsjavarfiskur2[[#This Row],[Rundvekt (tonn)]]</f>
        <v>5.2868852459016393</v>
      </c>
      <c r="G14">
        <f>Uppsjavarfiskur2[[#This Row],[Meðalverð NOK]]*$G$1</f>
        <v>67.915327868852458</v>
      </c>
      <c r="H14" s="18">
        <v>17017000</v>
      </c>
      <c r="I14" s="1">
        <v>1</v>
      </c>
      <c r="J14" s="2">
        <f>Uppsjavarfiskur2[[#This Row],[Aflamagn íslenskra skipa kg]]*(Uppsjavarfiskur2[[#This Row],[Meðalverð ISK]]*Uppsjavarfiskur2[[#This Row],[Stuðull]])</f>
        <v>1155715134.3442624</v>
      </c>
      <c r="K14" s="25">
        <f>Uppsjavarfiskur2[[#This Row],[Aflamagn íslenskra skipa kg]]/SUMIF(Uppsjavarfiskur2[Fisktegund],Uppsjavarfiskur2[[#This Row],[Fisktegund]],Uppsjavarfiskur2[Aflamagn íslenskra skipa kg])</f>
        <v>5.2918658203993545E-2</v>
      </c>
      <c r="L14" t="str">
        <f>IF(Uppsjavarfiskur2[[#This Row],[Hlutfall]]&gt;=$L$1,"Já","Nei")</f>
        <v>Já</v>
      </c>
      <c r="N14" s="54" t="s">
        <v>66</v>
      </c>
      <c r="O14" s="52" t="s">
        <v>63</v>
      </c>
      <c r="P14" s="53"/>
      <c r="R14" s="53"/>
      <c r="S14" s="53"/>
    </row>
    <row r="15" spans="1:19" x14ac:dyDescent="0.25">
      <c r="A15" s="21" t="s">
        <v>31</v>
      </c>
      <c r="B15" s="22" t="s">
        <v>28</v>
      </c>
      <c r="C15" s="21" t="s">
        <v>45</v>
      </c>
      <c r="D15" s="23">
        <v>551405</v>
      </c>
      <c r="E15" s="24">
        <v>29304</v>
      </c>
      <c r="F15">
        <f>Uppsjavarfiskur2[[#This Row],[Fangstverdi (1000 kr)]]/Uppsjavarfiskur2[[#This Row],[Rundvekt (tonn)]]</f>
        <v>18.816714441714442</v>
      </c>
      <c r="G15">
        <f>Uppsjavarfiskur2[[#This Row],[Meðalverð NOK]]*$G$1</f>
        <v>241.71951371826373</v>
      </c>
      <c r="H15" s="18">
        <v>1943</v>
      </c>
      <c r="I15" s="1">
        <v>0.8</v>
      </c>
      <c r="J15" s="2">
        <f>Uppsjavarfiskur2[[#This Row],[Aflamagn íslenskra skipa kg]]*(Uppsjavarfiskur2[[#This Row],[Meðalverð ISK]]*Uppsjavarfiskur2[[#This Row],[Stuðull]])</f>
        <v>375728.81212366914</v>
      </c>
      <c r="K15" s="25">
        <f>Uppsjavarfiskur2[[#This Row],[Aflamagn íslenskra skipa kg]]/SUMIF(Uppsjavarfiskur2[Fisktegund],Uppsjavarfiskur2[[#This Row],[Fisktegund]],Uppsjavarfiskur2[Aflamagn íslenskra skipa kg])</f>
        <v>2.168162069880388E-5</v>
      </c>
      <c r="L15" t="str">
        <f>IF(Uppsjavarfiskur2[[#This Row],[Hlutfall]]&gt;=$L$1,"Já","Nei")</f>
        <v>Nei</v>
      </c>
      <c r="N15" s="54" t="s">
        <v>67</v>
      </c>
      <c r="O15" s="54">
        <v>2024</v>
      </c>
      <c r="P15" s="53"/>
      <c r="R15" s="53"/>
      <c r="S15" s="53"/>
    </row>
    <row r="16" spans="1:19" x14ac:dyDescent="0.25">
      <c r="A16" s="26" t="s">
        <v>31</v>
      </c>
      <c r="B16" s="27" t="s">
        <v>30</v>
      </c>
      <c r="C16" s="26" t="s">
        <v>45</v>
      </c>
      <c r="D16" s="28">
        <v>115240</v>
      </c>
      <c r="E16" s="29">
        <v>5953</v>
      </c>
      <c r="F16">
        <f>Uppsjavarfiskur2[[#This Row],[Fangstverdi (1000 kr)]]/Uppsjavarfiskur2[[#This Row],[Rundvekt (tonn)]]</f>
        <v>19.358306736099447</v>
      </c>
      <c r="G16">
        <f>Uppsjavarfiskur2[[#This Row],[Meðalverð NOK]]*$G$1</f>
        <v>248.6768083319335</v>
      </c>
      <c r="H16" s="18">
        <v>176</v>
      </c>
      <c r="I16" s="1">
        <v>0.8</v>
      </c>
      <c r="J16" s="2">
        <f>Uppsjavarfiskur2[[#This Row],[Aflamagn íslenskra skipa kg]]*(Uppsjavarfiskur2[[#This Row],[Meðalverð ISK]]*Uppsjavarfiskur2[[#This Row],[Stuðull]])</f>
        <v>35013.694613136235</v>
      </c>
      <c r="K16" s="25">
        <f>Uppsjavarfiskur2[[#This Row],[Aflamagn íslenskra skipa kg]]/SUMIF(Uppsjavarfiskur2[Fisktegund],Uppsjavarfiskur2[[#This Row],[Fisktegund]],Uppsjavarfiskur2[Aflamagn íslenskra skipa kg])</f>
        <v>1.9639553489395175E-6</v>
      </c>
      <c r="L16" t="str">
        <f>IF(Uppsjavarfiskur2[[#This Row],[Hlutfall]]&gt;=$L$1,"Já","Nei")</f>
        <v>Nei</v>
      </c>
      <c r="N16" s="54" t="s">
        <v>17</v>
      </c>
      <c r="O16" s="52" t="s">
        <v>51</v>
      </c>
      <c r="Q16" s="53"/>
      <c r="R16" s="53"/>
      <c r="S16" s="53"/>
    </row>
    <row r="17" spans="1:19" x14ac:dyDescent="0.25">
      <c r="A17" s="21" t="s">
        <v>31</v>
      </c>
      <c r="B17" s="22" t="s">
        <v>32</v>
      </c>
      <c r="C17" s="21" t="s">
        <v>45</v>
      </c>
      <c r="D17" s="39">
        <v>34</v>
      </c>
      <c r="E17" s="40">
        <v>4</v>
      </c>
      <c r="F17">
        <f>Uppsjavarfiskur2[[#This Row],[Fangstverdi (1000 kr)]]/Uppsjavarfiskur2[[#This Row],[Rundvekt (tonn)]]</f>
        <v>8.5</v>
      </c>
      <c r="G17">
        <f>Uppsjavarfiskur2[[#This Row],[Meðalverð NOK]]*$G$1</f>
        <v>109.191</v>
      </c>
      <c r="H17" s="18">
        <v>0</v>
      </c>
      <c r="I17" s="1">
        <v>0.8</v>
      </c>
      <c r="J17" s="2">
        <f>Uppsjavarfiskur2[[#This Row],[Aflamagn íslenskra skipa kg]]*(Uppsjavarfiskur2[[#This Row],[Meðalverð ISK]]*Uppsjavarfiskur2[[#This Row],[Stuðull]])</f>
        <v>0</v>
      </c>
      <c r="K17" s="25">
        <f>Uppsjavarfiskur2[[#This Row],[Aflamagn íslenskra skipa kg]]/SUMIF(Uppsjavarfiskur2[Fisktegund],Uppsjavarfiskur2[[#This Row],[Fisktegund]],Uppsjavarfiskur2[Aflamagn íslenskra skipa kg])</f>
        <v>0</v>
      </c>
      <c r="L17" t="str">
        <f>IF(Uppsjavarfiskur2[[#This Row],[Hlutfall]]&gt;=$L$1,"Já","Nei")</f>
        <v>Nei</v>
      </c>
      <c r="N17" s="54" t="s">
        <v>68</v>
      </c>
      <c r="O17" s="52" t="s">
        <v>72</v>
      </c>
      <c r="Q17" s="53"/>
      <c r="R17" s="53"/>
      <c r="S17" s="53"/>
    </row>
    <row r="18" spans="1:19" x14ac:dyDescent="0.25">
      <c r="A18" s="26" t="s">
        <v>31</v>
      </c>
      <c r="B18" s="27" t="s">
        <v>34</v>
      </c>
      <c r="C18" s="26" t="s">
        <v>45</v>
      </c>
      <c r="D18" s="42">
        <v>708</v>
      </c>
      <c r="E18" s="35">
        <v>72</v>
      </c>
      <c r="F18">
        <f>Uppsjavarfiskur2[[#This Row],[Fangstverdi (1000 kr)]]/Uppsjavarfiskur2[[#This Row],[Rundvekt (tonn)]]</f>
        <v>9.8333333333333339</v>
      </c>
      <c r="G18">
        <f>Uppsjavarfiskur2[[#This Row],[Meðalverð NOK]]*$G$1</f>
        <v>126.319</v>
      </c>
      <c r="H18" s="18">
        <v>203661</v>
      </c>
      <c r="I18" s="1">
        <v>0.8</v>
      </c>
      <c r="J18" s="2">
        <f>Uppsjavarfiskur2[[#This Row],[Aflamagn íslenskra skipa kg]]*(Uppsjavarfiskur2[[#This Row],[Meðalverð ISK]]*Uppsjavarfiskur2[[#This Row],[Stuðull]])</f>
        <v>20581003.087200001</v>
      </c>
      <c r="K18" s="25">
        <f>Uppsjavarfiskur2[[#This Row],[Aflamagn íslenskra skipa kg]]/SUMIF(Uppsjavarfiskur2[Fisktegund],Uppsjavarfiskur2[[#This Row],[Fisktegund]],Uppsjavarfiskur2[Aflamagn íslenskra skipa kg])</f>
        <v>2.2726199450021087E-3</v>
      </c>
      <c r="L18" t="str">
        <f>IF(Uppsjavarfiskur2[[#This Row],[Hlutfall]]&gt;=$L$1,"Já","Nei")</f>
        <v>Nei</v>
      </c>
      <c r="N18" s="54" t="s">
        <v>69</v>
      </c>
      <c r="O18" s="52" t="s">
        <v>64</v>
      </c>
      <c r="P18" s="53"/>
      <c r="R18" s="53"/>
      <c r="S18" s="53"/>
    </row>
    <row r="19" spans="1:19" x14ac:dyDescent="0.25">
      <c r="A19" s="21" t="s">
        <v>31</v>
      </c>
      <c r="B19" s="22" t="s">
        <v>36</v>
      </c>
      <c r="C19" s="21" t="s">
        <v>45</v>
      </c>
      <c r="D19" s="23">
        <v>3608</v>
      </c>
      <c r="E19" s="40">
        <v>219</v>
      </c>
      <c r="F19">
        <f>Uppsjavarfiskur2[[#This Row],[Fangstverdi (1000 kr)]]/Uppsjavarfiskur2[[#This Row],[Rundvekt (tonn)]]</f>
        <v>16.474885844748858</v>
      </c>
      <c r="G19">
        <f>Uppsjavarfiskur2[[#This Row],[Meðalverð NOK]]*$G$1</f>
        <v>211.63638356164384</v>
      </c>
      <c r="H19" s="18">
        <v>33382</v>
      </c>
      <c r="I19" s="1">
        <v>0.8</v>
      </c>
      <c r="J19" s="2">
        <f>Uppsjavarfiskur2[[#This Row],[Aflamagn íslenskra skipa kg]]*(Uppsjavarfiskur2[[#This Row],[Meðalverð ISK]]*Uppsjavarfiskur2[[#This Row],[Stuðull]])</f>
        <v>5651876.6048438353</v>
      </c>
      <c r="K19" s="25">
        <f>Uppsjavarfiskur2[[#This Row],[Aflamagn íslenskra skipa kg]]/SUMIF(Uppsjavarfiskur2[Fisktegund],Uppsjavarfiskur2[[#This Row],[Fisktegund]],Uppsjavarfiskur2[Aflamagn íslenskra skipa kg])</f>
        <v>3.7250430374033509E-4</v>
      </c>
      <c r="L19" t="str">
        <f>IF(Uppsjavarfiskur2[[#This Row],[Hlutfall]]&gt;=$L$1,"Já","Nei")</f>
        <v>Nei</v>
      </c>
      <c r="N19" s="54" t="s">
        <v>70</v>
      </c>
      <c r="O19" s="52" t="s">
        <v>64</v>
      </c>
      <c r="P19" s="53"/>
      <c r="Q19" s="53"/>
      <c r="S19" s="53"/>
    </row>
    <row r="20" spans="1:19" x14ac:dyDescent="0.25">
      <c r="A20" s="26" t="s">
        <v>31</v>
      </c>
      <c r="B20" s="33" t="s">
        <v>38</v>
      </c>
      <c r="C20" s="26" t="s">
        <v>45</v>
      </c>
      <c r="D20" s="28">
        <v>73600</v>
      </c>
      <c r="E20" s="29">
        <v>4732</v>
      </c>
      <c r="F20">
        <f>Uppsjavarfiskur2[[#This Row],[Fangstverdi (1000 kr)]]/Uppsjavarfiskur2[[#This Row],[Rundvekt (tonn)]]</f>
        <v>15.553677092138631</v>
      </c>
      <c r="G20">
        <f>Uppsjavarfiskur2[[#This Row],[Meðalverð NOK]]*$G$1</f>
        <v>199.80253592561286</v>
      </c>
      <c r="H20" s="18">
        <v>0</v>
      </c>
      <c r="I20" s="1">
        <v>0.8</v>
      </c>
      <c r="J20" s="2">
        <f>Uppsjavarfiskur2[[#This Row],[Aflamagn íslenskra skipa kg]]*(Uppsjavarfiskur2[[#This Row],[Meðalverð ISK]]*Uppsjavarfiskur2[[#This Row],[Stuðull]])</f>
        <v>0</v>
      </c>
      <c r="K20" s="25">
        <f>Uppsjavarfiskur2[[#This Row],[Aflamagn íslenskra skipa kg]]/SUMIF(Uppsjavarfiskur2[Fisktegund],Uppsjavarfiskur2[[#This Row],[Fisktegund]],Uppsjavarfiskur2[Aflamagn íslenskra skipa kg])</f>
        <v>0</v>
      </c>
      <c r="L20" t="str">
        <f>IF(Uppsjavarfiskur2[[#This Row],[Hlutfall]]&gt;=$L$1,"Já","Nei")</f>
        <v>Nei</v>
      </c>
      <c r="N20" s="54" t="s">
        <v>71</v>
      </c>
      <c r="O20" s="52" t="s">
        <v>51</v>
      </c>
      <c r="Q20" s="53"/>
      <c r="R20" s="53"/>
      <c r="S20" s="53"/>
    </row>
    <row r="21" spans="1:19" x14ac:dyDescent="0.25">
      <c r="A21" s="21" t="s">
        <v>31</v>
      </c>
      <c r="B21" s="34" t="s">
        <v>39</v>
      </c>
      <c r="C21" s="21" t="s">
        <v>45</v>
      </c>
      <c r="D21" s="23">
        <v>106090</v>
      </c>
      <c r="E21" s="24">
        <v>7304</v>
      </c>
      <c r="F21">
        <f>Uppsjavarfiskur2[[#This Row],[Fangstverdi (1000 kr)]]/Uppsjavarfiskur2[[#This Row],[Rundvekt (tonn)]]</f>
        <v>14.524917853231106</v>
      </c>
      <c r="G21">
        <f>Uppsjavarfiskur2[[#This Row],[Meðalverð NOK]]*$G$1</f>
        <v>186.58709474260678</v>
      </c>
      <c r="H21" s="18">
        <v>45980813</v>
      </c>
      <c r="I21" s="1">
        <v>0.8</v>
      </c>
      <c r="J21" s="2">
        <f>Uppsjavarfiskur2[[#This Row],[Aflamagn íslenskra skipa kg]]*(Uppsjavarfiskur2[[#This Row],[Meðalverð ISK]]*Uppsjavarfiskur2[[#This Row],[Stuðull]])</f>
        <v>6863541049.2584686</v>
      </c>
      <c r="K21" s="25">
        <f>Uppsjavarfiskur2[[#This Row],[Aflamagn íslenskra skipa kg]]/SUMIF(Uppsjavarfiskur2[Fisktegund],Uppsjavarfiskur2[[#This Row],[Fisktegund]],Uppsjavarfiskur2[Aflamagn íslenskra skipa kg])</f>
        <v>0.51309240704510062</v>
      </c>
      <c r="L21" t="str">
        <f>IF(Uppsjavarfiskur2[[#This Row],[Hlutfall]]&gt;=$L$1,"Já","Nei")</f>
        <v>Já</v>
      </c>
      <c r="N21" s="36"/>
      <c r="O21" s="38"/>
      <c r="P21" s="41"/>
      <c r="Q21" s="36"/>
    </row>
    <row r="22" spans="1:19" x14ac:dyDescent="0.25">
      <c r="A22" s="26" t="s">
        <v>31</v>
      </c>
      <c r="B22" s="33" t="s">
        <v>40</v>
      </c>
      <c r="C22" s="26" t="s">
        <v>45</v>
      </c>
      <c r="D22" s="28">
        <v>1169332</v>
      </c>
      <c r="E22" s="29">
        <v>56163</v>
      </c>
      <c r="F22">
        <f>Uppsjavarfiskur2[[#This Row],[Fangstverdi (1000 kr)]]/Uppsjavarfiskur2[[#This Row],[Rundvekt (tonn)]]</f>
        <v>20.820326549507683</v>
      </c>
      <c r="G22">
        <f>Uppsjavarfiskur2[[#This Row],[Meðalverð NOK]]*$G$1</f>
        <v>267.45791485497568</v>
      </c>
      <c r="H22" s="18">
        <v>41801436</v>
      </c>
      <c r="I22" s="1">
        <v>0.8</v>
      </c>
      <c r="J22" s="2">
        <f>Uppsjavarfiskur2[[#This Row],[Aflamagn íslenskra skipa kg]]*(Uppsjavarfiskur2[[#This Row],[Meðalverð ISK]]*Uppsjavarfiskur2[[#This Row],[Stuðull]])</f>
        <v>8944099928.4029732</v>
      </c>
      <c r="K22" s="25">
        <f>Uppsjavarfiskur2[[#This Row],[Aflamagn íslenskra skipa kg]]/SUMIF(Uppsjavarfiskur2[Fisktegund],Uppsjavarfiskur2[[#This Row],[Fisktegund]],Uppsjavarfiskur2[Aflamagn íslenskra skipa kg])</f>
        <v>0.46645541946336883</v>
      </c>
      <c r="L22" t="str">
        <f>IF(Uppsjavarfiskur2[[#This Row],[Hlutfall]]&gt;=$L$1,"Já","Nei")</f>
        <v>Já</v>
      </c>
      <c r="N22" s="36"/>
      <c r="O22" s="38"/>
      <c r="P22" s="37"/>
      <c r="Q22" s="43"/>
    </row>
    <row r="23" spans="1:19" x14ac:dyDescent="0.25">
      <c r="A23" s="21" t="s">
        <v>31</v>
      </c>
      <c r="B23" s="34" t="s">
        <v>41</v>
      </c>
      <c r="C23" s="21" t="s">
        <v>45</v>
      </c>
      <c r="D23" s="23">
        <v>2968475</v>
      </c>
      <c r="E23" s="24">
        <v>139529</v>
      </c>
      <c r="F23">
        <f>Uppsjavarfiskur2[[#This Row],[Fangstverdi (1000 kr)]]/Uppsjavarfiskur2[[#This Row],[Rundvekt (tonn)]]</f>
        <v>21.274967927814288</v>
      </c>
      <c r="G23">
        <f>Uppsjavarfiskur2[[#This Row],[Meðalverð NOK]]*$G$1</f>
        <v>273.29823800070233</v>
      </c>
      <c r="H23" s="18">
        <v>1593630</v>
      </c>
      <c r="I23" s="1">
        <v>0.8</v>
      </c>
      <c r="J23" s="2">
        <f>Uppsjavarfiskur2[[#This Row],[Aflamagn íslenskra skipa kg]]*(Uppsjavarfiskur2[[#This Row],[Meðalverð ISK]]*Uppsjavarfiskur2[[#This Row],[Stuðull]])</f>
        <v>348429016.82004738</v>
      </c>
      <c r="K23" s="25">
        <f>Uppsjavarfiskur2[[#This Row],[Aflamagn íslenskra skipa kg]]/SUMIF(Uppsjavarfiskur2[Fisktegund],Uppsjavarfiskur2[[#This Row],[Fisktegund]],Uppsjavarfiskur2[Aflamagn íslenskra skipa kg])</f>
        <v>1.7783057742786837E-2</v>
      </c>
      <c r="L23" t="str">
        <f>IF(Uppsjavarfiskur2[[#This Row],[Hlutfall]]&gt;=$L$1,"Já","Nei")</f>
        <v>Nei</v>
      </c>
    </row>
    <row r="24" spans="1:19" x14ac:dyDescent="0.25">
      <c r="A24" s="26" t="s">
        <v>31</v>
      </c>
      <c r="B24" s="33" t="s">
        <v>42</v>
      </c>
      <c r="C24" s="26" t="s">
        <v>45</v>
      </c>
      <c r="D24" s="28">
        <v>1867599</v>
      </c>
      <c r="E24" s="29">
        <v>78912</v>
      </c>
      <c r="F24">
        <f>Uppsjavarfiskur2[[#This Row],[Fangstverdi (1000 kr)]]/Uppsjavarfiskur2[[#This Row],[Rundvekt (tonn)]]</f>
        <v>23.666856751824817</v>
      </c>
      <c r="G24">
        <f>Uppsjavarfiskur2[[#This Row],[Meðalverð NOK]]*$G$1</f>
        <v>304.02444183394158</v>
      </c>
      <c r="H24" s="18">
        <v>0</v>
      </c>
      <c r="I24" s="1">
        <v>0.8</v>
      </c>
      <c r="J24" s="2">
        <f>Uppsjavarfiskur2[[#This Row],[Aflamagn íslenskra skipa kg]]*(Uppsjavarfiskur2[[#This Row],[Meðalverð ISK]]*Uppsjavarfiskur2[[#This Row],[Stuðull]])</f>
        <v>0</v>
      </c>
      <c r="K24" s="25">
        <f>Uppsjavarfiskur2[[#This Row],[Aflamagn íslenskra skipa kg]]/SUMIF(Uppsjavarfiskur2[Fisktegund],Uppsjavarfiskur2[[#This Row],[Fisktegund]],Uppsjavarfiskur2[Aflamagn íslenskra skipa kg])</f>
        <v>0</v>
      </c>
      <c r="L24" t="str">
        <f>IF(Uppsjavarfiskur2[[#This Row],[Hlutfall]]&gt;=$L$1,"Já","Nei")</f>
        <v>Nei</v>
      </c>
    </row>
    <row r="25" spans="1:19" x14ac:dyDescent="0.25">
      <c r="A25" s="21" t="s">
        <v>31</v>
      </c>
      <c r="B25" s="34" t="s">
        <v>43</v>
      </c>
      <c r="C25" s="21" t="s">
        <v>45</v>
      </c>
      <c r="D25" s="23">
        <v>489867</v>
      </c>
      <c r="E25" s="24">
        <v>20856</v>
      </c>
      <c r="F25">
        <f>Uppsjavarfiskur2[[#This Row],[Fangstverdi (1000 kr)]]/Uppsjavarfiskur2[[#This Row],[Rundvekt (tonn)]]</f>
        <v>23.488060989643269</v>
      </c>
      <c r="G25">
        <f>Uppsjavarfiskur2[[#This Row],[Meðalverð NOK]]*$G$1</f>
        <v>301.72763147295746</v>
      </c>
      <c r="H25" s="18">
        <v>0</v>
      </c>
      <c r="I25" s="1">
        <v>0.8</v>
      </c>
      <c r="J25" s="2">
        <f>Uppsjavarfiskur2[[#This Row],[Aflamagn íslenskra skipa kg]]*(Uppsjavarfiskur2[[#This Row],[Meðalverð ISK]]*Uppsjavarfiskur2[[#This Row],[Stuðull]])</f>
        <v>0</v>
      </c>
      <c r="K25" s="25">
        <f>Uppsjavarfiskur2[[#This Row],[Aflamagn íslenskra skipa kg]]/SUMIF(Uppsjavarfiskur2[Fisktegund],Uppsjavarfiskur2[[#This Row],[Fisktegund]],Uppsjavarfiskur2[Aflamagn íslenskra skipa kg])</f>
        <v>0</v>
      </c>
      <c r="L25" t="str">
        <f>IF(Uppsjavarfiskur2[[#This Row],[Hlutfall]]&gt;=$L$1,"Já","Nei")</f>
        <v>Nei</v>
      </c>
    </row>
    <row r="26" spans="1:19" x14ac:dyDescent="0.25">
      <c r="A26" s="26" t="s">
        <v>31</v>
      </c>
      <c r="B26" s="33" t="s">
        <v>44</v>
      </c>
      <c r="C26" s="26" t="s">
        <v>45</v>
      </c>
      <c r="D26" s="42">
        <v>96</v>
      </c>
      <c r="E26" s="35">
        <v>12</v>
      </c>
      <c r="F26">
        <f>Uppsjavarfiskur2[[#This Row],[Fangstverdi (1000 kr)]]/Uppsjavarfiskur2[[#This Row],[Rundvekt (tonn)]]</f>
        <v>8</v>
      </c>
      <c r="G26">
        <f>Uppsjavarfiskur2[[#This Row],[Meðalverð NOK]]*$G$1</f>
        <v>102.768</v>
      </c>
      <c r="H26" s="18">
        <v>31</v>
      </c>
      <c r="I26" s="1">
        <v>0.8</v>
      </c>
      <c r="J26" s="2">
        <f>Uppsjavarfiskur2[[#This Row],[Aflamagn íslenskra skipa kg]]*(Uppsjavarfiskur2[[#This Row],[Meðalverð ISK]]*Uppsjavarfiskur2[[#This Row],[Stuðull]])</f>
        <v>2548.6464000000005</v>
      </c>
      <c r="K26" s="25">
        <f>Uppsjavarfiskur2[[#This Row],[Aflamagn íslenskra skipa kg]]/SUMIF(Uppsjavarfiskur2[Fisktegund],Uppsjavarfiskur2[[#This Row],[Fisktegund]],Uppsjavarfiskur2[Aflamagn íslenskra skipa kg])</f>
        <v>3.459239535063923E-7</v>
      </c>
      <c r="L26" t="str">
        <f>IF(Uppsjavarfiskur2[[#This Row],[Hlutfall]]&gt;=$L$1,"Já","Nei")</f>
        <v>Nei</v>
      </c>
    </row>
    <row r="27" spans="1:19" x14ac:dyDescent="0.25">
      <c r="A27" s="21" t="s">
        <v>35</v>
      </c>
      <c r="B27" s="22" t="s">
        <v>28</v>
      </c>
      <c r="C27" s="21" t="s">
        <v>46</v>
      </c>
      <c r="D27" s="23">
        <v>769237</v>
      </c>
      <c r="E27" s="24">
        <v>72202</v>
      </c>
      <c r="F27">
        <f>Uppsjavarfiskur2[[#This Row],[Fangstverdi (1000 kr)]]/Uppsjavarfiskur2[[#This Row],[Rundvekt (tonn)]]</f>
        <v>10.653956954100995</v>
      </c>
      <c r="G27">
        <f>Uppsjavarfiskur2[[#This Row],[Meðalverð NOK]]*$G$1</f>
        <v>136.86073103238138</v>
      </c>
      <c r="H27" s="18">
        <v>0</v>
      </c>
      <c r="I27" s="1">
        <v>1</v>
      </c>
      <c r="J27" s="2">
        <f>Uppsjavarfiskur2[[#This Row],[Aflamagn íslenskra skipa kg]]*(Uppsjavarfiskur2[[#This Row],[Meðalverð ISK]]*Uppsjavarfiskur2[[#This Row],[Stuðull]])</f>
        <v>0</v>
      </c>
      <c r="K27" s="25">
        <f>Uppsjavarfiskur2[[#This Row],[Aflamagn íslenskra skipa kg]]/SUMIF(Uppsjavarfiskur2[Fisktegund],Uppsjavarfiskur2[[#This Row],[Fisktegund]],Uppsjavarfiskur2[Aflamagn íslenskra skipa kg])</f>
        <v>0</v>
      </c>
      <c r="L27" t="str">
        <f>IF(Uppsjavarfiskur2[[#This Row],[Hlutfall]]&gt;=$L$1,"Já","Nei")</f>
        <v>Nei</v>
      </c>
    </row>
    <row r="28" spans="1:19" x14ac:dyDescent="0.25">
      <c r="A28" s="26" t="s">
        <v>35</v>
      </c>
      <c r="B28" s="27" t="s">
        <v>30</v>
      </c>
      <c r="C28" s="26" t="s">
        <v>46</v>
      </c>
      <c r="D28" s="28">
        <v>289240</v>
      </c>
      <c r="E28" s="29">
        <v>28033</v>
      </c>
      <c r="F28">
        <f>Uppsjavarfiskur2[[#This Row],[Fangstverdi (1000 kr)]]/Uppsjavarfiskur2[[#This Row],[Rundvekt (tonn)]]</f>
        <v>10.317839688938037</v>
      </c>
      <c r="G28">
        <f>Uppsjavarfiskur2[[#This Row],[Meðalverð NOK]]*$G$1</f>
        <v>132.54296864409801</v>
      </c>
      <c r="H28" s="18">
        <v>0</v>
      </c>
      <c r="I28" s="1">
        <v>1</v>
      </c>
      <c r="J28" s="2">
        <f>Uppsjavarfiskur2[[#This Row],[Aflamagn íslenskra skipa kg]]*(Uppsjavarfiskur2[[#This Row],[Meðalverð ISK]]*Uppsjavarfiskur2[[#This Row],[Stuðull]])</f>
        <v>0</v>
      </c>
      <c r="K28" s="25">
        <f>Uppsjavarfiskur2[[#This Row],[Aflamagn íslenskra skipa kg]]/SUMIF(Uppsjavarfiskur2[Fisktegund],Uppsjavarfiskur2[[#This Row],[Fisktegund]],Uppsjavarfiskur2[Aflamagn íslenskra skipa kg])</f>
        <v>0</v>
      </c>
      <c r="L28" t="str">
        <f>IF(Uppsjavarfiskur2[[#This Row],[Hlutfall]]&gt;=$L$1,"Já","Nei")</f>
        <v>Nei</v>
      </c>
    </row>
    <row r="29" spans="1:19" x14ac:dyDescent="0.25">
      <c r="A29" s="21" t="s">
        <v>35</v>
      </c>
      <c r="B29" s="22" t="s">
        <v>32</v>
      </c>
      <c r="C29" s="21" t="s">
        <v>46</v>
      </c>
      <c r="D29" s="23">
        <v>7701</v>
      </c>
      <c r="E29" s="40">
        <v>880</v>
      </c>
      <c r="F29">
        <f>Uppsjavarfiskur2[[#This Row],[Fangstverdi (1000 kr)]]/Uppsjavarfiskur2[[#This Row],[Rundvekt (tonn)]]</f>
        <v>8.7511363636363644</v>
      </c>
      <c r="G29">
        <f>Uppsjavarfiskur2[[#This Row],[Meðalverð NOK]]*$G$1</f>
        <v>112.41709772727273</v>
      </c>
      <c r="H29" s="18">
        <v>0</v>
      </c>
      <c r="I29" s="1">
        <v>1</v>
      </c>
      <c r="J29" s="2">
        <f>Uppsjavarfiskur2[[#This Row],[Aflamagn íslenskra skipa kg]]*(Uppsjavarfiskur2[[#This Row],[Meðalverð ISK]]*Uppsjavarfiskur2[[#This Row],[Stuðull]])</f>
        <v>0</v>
      </c>
      <c r="K29" s="25">
        <f>Uppsjavarfiskur2[[#This Row],[Aflamagn íslenskra skipa kg]]/SUMIF(Uppsjavarfiskur2[Fisktegund],Uppsjavarfiskur2[[#This Row],[Fisktegund]],Uppsjavarfiskur2[Aflamagn íslenskra skipa kg])</f>
        <v>0</v>
      </c>
      <c r="L29" t="str">
        <f>IF(Uppsjavarfiskur2[[#This Row],[Hlutfall]]&gt;=$L$1,"Já","Nei")</f>
        <v>Nei</v>
      </c>
    </row>
    <row r="30" spans="1:19" x14ac:dyDescent="0.25">
      <c r="A30" s="26" t="s">
        <v>35</v>
      </c>
      <c r="B30" s="27" t="s">
        <v>34</v>
      </c>
      <c r="C30" s="26" t="s">
        <v>46</v>
      </c>
      <c r="D30" s="42">
        <v>95</v>
      </c>
      <c r="E30" s="35">
        <v>14</v>
      </c>
      <c r="F30">
        <f>Uppsjavarfiskur2[[#This Row],[Fangstverdi (1000 kr)]]/Uppsjavarfiskur2[[#This Row],[Rundvekt (tonn)]]</f>
        <v>6.7857142857142856</v>
      </c>
      <c r="G30">
        <f>Uppsjavarfiskur2[[#This Row],[Meðalverð NOK]]*$G$1</f>
        <v>87.169285714285706</v>
      </c>
      <c r="H30" s="18">
        <v>0</v>
      </c>
      <c r="I30" s="1">
        <v>1</v>
      </c>
      <c r="J30" s="2">
        <f>Uppsjavarfiskur2[[#This Row],[Aflamagn íslenskra skipa kg]]*(Uppsjavarfiskur2[[#This Row],[Meðalverð ISK]]*Uppsjavarfiskur2[[#This Row],[Stuðull]])</f>
        <v>0</v>
      </c>
      <c r="K30" s="25">
        <f>Uppsjavarfiskur2[[#This Row],[Aflamagn íslenskra skipa kg]]/SUMIF(Uppsjavarfiskur2[Fisktegund],Uppsjavarfiskur2[[#This Row],[Fisktegund]],Uppsjavarfiskur2[Aflamagn íslenskra skipa kg])</f>
        <v>0</v>
      </c>
      <c r="L30" t="str">
        <f>IF(Uppsjavarfiskur2[[#This Row],[Hlutfall]]&gt;=$L$1,"Já","Nei")</f>
        <v>Nei</v>
      </c>
    </row>
    <row r="31" spans="1:19" x14ac:dyDescent="0.25">
      <c r="A31" s="21" t="s">
        <v>35</v>
      </c>
      <c r="B31" s="22" t="s">
        <v>36</v>
      </c>
      <c r="C31" s="21" t="s">
        <v>46</v>
      </c>
      <c r="D31" s="39">
        <v>155</v>
      </c>
      <c r="E31" s="40">
        <v>16</v>
      </c>
      <c r="F31">
        <f>Uppsjavarfiskur2[[#This Row],[Fangstverdi (1000 kr)]]/Uppsjavarfiskur2[[#This Row],[Rundvekt (tonn)]]</f>
        <v>9.6875</v>
      </c>
      <c r="G31">
        <f>Uppsjavarfiskur2[[#This Row],[Meðalverð NOK]]*$G$1</f>
        <v>124.44562500000001</v>
      </c>
      <c r="H31" s="18">
        <v>0</v>
      </c>
      <c r="I31" s="1">
        <v>1</v>
      </c>
      <c r="J31" s="2">
        <f>Uppsjavarfiskur2[[#This Row],[Aflamagn íslenskra skipa kg]]*(Uppsjavarfiskur2[[#This Row],[Meðalverð ISK]]*Uppsjavarfiskur2[[#This Row],[Stuðull]])</f>
        <v>0</v>
      </c>
      <c r="K31" s="25">
        <f>Uppsjavarfiskur2[[#This Row],[Aflamagn íslenskra skipa kg]]/SUMIF(Uppsjavarfiskur2[Fisktegund],Uppsjavarfiskur2[[#This Row],[Fisktegund]],Uppsjavarfiskur2[Aflamagn íslenskra skipa kg])</f>
        <v>0</v>
      </c>
      <c r="L31" t="str">
        <f>IF(Uppsjavarfiskur2[[#This Row],[Hlutfall]]&gt;=$L$1,"Já","Nei")</f>
        <v>Nei</v>
      </c>
    </row>
    <row r="32" spans="1:19" x14ac:dyDescent="0.25">
      <c r="A32" s="26" t="s">
        <v>35</v>
      </c>
      <c r="B32" s="33" t="s">
        <v>38</v>
      </c>
      <c r="C32" s="26" t="s">
        <v>46</v>
      </c>
      <c r="D32" s="42">
        <v>745</v>
      </c>
      <c r="E32" s="35">
        <v>99</v>
      </c>
      <c r="F32">
        <f>Uppsjavarfiskur2[[#This Row],[Fangstverdi (1000 kr)]]/Uppsjavarfiskur2[[#This Row],[Rundvekt (tonn)]]</f>
        <v>7.5252525252525251</v>
      </c>
      <c r="G32">
        <f>Uppsjavarfiskur2[[#This Row],[Meðalverð NOK]]*$G$1</f>
        <v>96.669393939393942</v>
      </c>
      <c r="H32" s="18">
        <v>0</v>
      </c>
      <c r="I32" s="1">
        <v>1</v>
      </c>
      <c r="J32" s="2">
        <f>Uppsjavarfiskur2[[#This Row],[Aflamagn íslenskra skipa kg]]*(Uppsjavarfiskur2[[#This Row],[Meðalverð ISK]]*Uppsjavarfiskur2[[#This Row],[Stuðull]])</f>
        <v>0</v>
      </c>
      <c r="K32" s="25">
        <f>Uppsjavarfiskur2[[#This Row],[Aflamagn íslenskra skipa kg]]/SUMIF(Uppsjavarfiskur2[Fisktegund],Uppsjavarfiskur2[[#This Row],[Fisktegund]],Uppsjavarfiskur2[Aflamagn íslenskra skipa kg])</f>
        <v>0</v>
      </c>
      <c r="L32" t="str">
        <f>IF(Uppsjavarfiskur2[[#This Row],[Hlutfall]]&gt;=$L$1,"Já","Nei")</f>
        <v>Nei</v>
      </c>
    </row>
    <row r="33" spans="1:12" x14ac:dyDescent="0.25">
      <c r="A33" s="21" t="s">
        <v>35</v>
      </c>
      <c r="B33" s="34" t="s">
        <v>39</v>
      </c>
      <c r="C33" s="21" t="s">
        <v>46</v>
      </c>
      <c r="D33" s="23">
        <v>5815</v>
      </c>
      <c r="E33" s="40">
        <v>697</v>
      </c>
      <c r="F33">
        <f>Uppsjavarfiskur2[[#This Row],[Fangstverdi (1000 kr)]]/Uppsjavarfiskur2[[#This Row],[Rundvekt (tonn)]]</f>
        <v>8.3428981348637024</v>
      </c>
      <c r="G33">
        <f>Uppsjavarfiskur2[[#This Row],[Meðalverð NOK]]*$G$1</f>
        <v>107.17286944045912</v>
      </c>
      <c r="H33" s="18">
        <v>1918000</v>
      </c>
      <c r="I33" s="1">
        <v>1</v>
      </c>
      <c r="J33" s="2">
        <f>Uppsjavarfiskur2[[#This Row],[Aflamagn íslenskra skipa kg]]*(Uppsjavarfiskur2[[#This Row],[Meðalverð ISK]]*Uppsjavarfiskur2[[#This Row],[Stuðull]])</f>
        <v>205557563.58680061</v>
      </c>
      <c r="K33" s="25">
        <f>Uppsjavarfiskur2[[#This Row],[Aflamagn íslenskra skipa kg]]/SUMIF(Uppsjavarfiskur2[Fisktegund],Uppsjavarfiskur2[[#This Row],[Fisktegund]],Uppsjavarfiskur2[Aflamagn íslenskra skipa kg])</f>
        <v>3.0462335022155871E-2</v>
      </c>
      <c r="L33" t="str">
        <f>IF(Uppsjavarfiskur2[[#This Row],[Hlutfall]]&gt;=$L$1,"Já","Nei")</f>
        <v>Nei</v>
      </c>
    </row>
    <row r="34" spans="1:12" x14ac:dyDescent="0.25">
      <c r="A34" s="26" t="s">
        <v>35</v>
      </c>
      <c r="B34" s="33" t="s">
        <v>40</v>
      </c>
      <c r="C34" s="26" t="s">
        <v>46</v>
      </c>
      <c r="D34" s="28">
        <v>6420</v>
      </c>
      <c r="E34" s="35">
        <v>752</v>
      </c>
      <c r="F34">
        <f>Uppsjavarfiskur2[[#This Row],[Fangstverdi (1000 kr)]]/Uppsjavarfiskur2[[#This Row],[Rundvekt (tonn)]]</f>
        <v>8.537234042553191</v>
      </c>
      <c r="G34">
        <f>Uppsjavarfiskur2[[#This Row],[Meðalverð NOK]]*$G$1</f>
        <v>109.66930851063829</v>
      </c>
      <c r="H34" s="18">
        <v>2543000</v>
      </c>
      <c r="I34" s="1">
        <v>1</v>
      </c>
      <c r="J34" s="2">
        <f>Uppsjavarfiskur2[[#This Row],[Aflamagn íslenskra skipa kg]]*(Uppsjavarfiskur2[[#This Row],[Meðalverð ISK]]*Uppsjavarfiskur2[[#This Row],[Stuðull]])</f>
        <v>278889051.54255319</v>
      </c>
      <c r="K34" s="25">
        <f>Uppsjavarfiskur2[[#This Row],[Aflamagn íslenskra skipa kg]]/SUMIF(Uppsjavarfiskur2[Fisktegund],Uppsjavarfiskur2[[#This Row],[Fisktegund]],Uppsjavarfiskur2[Aflamagn íslenskra skipa kg])</f>
        <v>4.0388799771294254E-2</v>
      </c>
      <c r="L34" t="str">
        <f>IF(Uppsjavarfiskur2[[#This Row],[Hlutfall]]&gt;=$L$1,"Já","Nei")</f>
        <v>Nei</v>
      </c>
    </row>
    <row r="35" spans="1:12" x14ac:dyDescent="0.25">
      <c r="A35" s="21" t="s">
        <v>35</v>
      </c>
      <c r="B35" s="34" t="s">
        <v>41</v>
      </c>
      <c r="C35" s="21" t="s">
        <v>46</v>
      </c>
      <c r="D35" s="23">
        <v>3522</v>
      </c>
      <c r="E35" s="40">
        <v>525</v>
      </c>
      <c r="F35">
        <f>Uppsjavarfiskur2[[#This Row],[Fangstverdi (1000 kr)]]/Uppsjavarfiskur2[[#This Row],[Rundvekt (tonn)]]</f>
        <v>6.7085714285714282</v>
      </c>
      <c r="G35">
        <f>Uppsjavarfiskur2[[#This Row],[Meðalverð NOK]]*$G$1</f>
        <v>86.178308571428573</v>
      </c>
      <c r="H35" s="18">
        <v>45101000</v>
      </c>
      <c r="I35" s="1">
        <v>1</v>
      </c>
      <c r="J35" s="2">
        <f>Uppsjavarfiskur2[[#This Row],[Aflamagn íslenskra skipa kg]]*(Uppsjavarfiskur2[[#This Row],[Meðalverð ISK]]*Uppsjavarfiskur2[[#This Row],[Stuðull]])</f>
        <v>3886727894.8800001</v>
      </c>
      <c r="K35" s="25">
        <f>Uppsjavarfiskur2[[#This Row],[Aflamagn íslenskra skipa kg]]/SUMIF(Uppsjavarfiskur2[Fisktegund],Uppsjavarfiskur2[[#This Row],[Fisktegund]],Uppsjavarfiskur2[Aflamagn íslenskra skipa kg])</f>
        <v>0.7163095786414243</v>
      </c>
      <c r="L35" t="str">
        <f>IF(Uppsjavarfiskur2[[#This Row],[Hlutfall]]&gt;=$L$1,"Já","Nei")</f>
        <v>Já</v>
      </c>
    </row>
    <row r="36" spans="1:12" x14ac:dyDescent="0.25">
      <c r="A36" s="26" t="s">
        <v>35</v>
      </c>
      <c r="B36" s="33" t="s">
        <v>42</v>
      </c>
      <c r="C36" s="26" t="s">
        <v>46</v>
      </c>
      <c r="D36" s="28">
        <v>1081402</v>
      </c>
      <c r="E36" s="29">
        <v>97422</v>
      </c>
      <c r="F36">
        <f>Uppsjavarfiskur2[[#This Row],[Fangstverdi (1000 kr)]]/Uppsjavarfiskur2[[#This Row],[Rundvekt (tonn)]]</f>
        <v>11.100182710270781</v>
      </c>
      <c r="G36">
        <f>Uppsjavarfiskur2[[#This Row],[Meðalverð NOK]]*$G$1</f>
        <v>142.59294709613846</v>
      </c>
      <c r="H36" s="18">
        <v>12322000</v>
      </c>
      <c r="I36" s="1">
        <v>1</v>
      </c>
      <c r="J36" s="2">
        <f>Uppsjavarfiskur2[[#This Row],[Aflamagn íslenskra skipa kg]]*(Uppsjavarfiskur2[[#This Row],[Meðalverð ISK]]*Uppsjavarfiskur2[[#This Row],[Stuðull]])</f>
        <v>1757030294.118618</v>
      </c>
      <c r="K36" s="25">
        <f>Uppsjavarfiskur2[[#This Row],[Aflamagn íslenskra skipa kg]]/SUMIF(Uppsjavarfiskur2[Fisktegund],Uppsjavarfiskur2[[#This Row],[Fisktegund]],Uppsjavarfiskur2[Aflamagn íslenskra skipa kg])</f>
        <v>0.19570223782221305</v>
      </c>
      <c r="L36" t="str">
        <f>IF(Uppsjavarfiskur2[[#This Row],[Hlutfall]]&gt;=$L$1,"Já","Nei")</f>
        <v>Já</v>
      </c>
    </row>
    <row r="37" spans="1:12" x14ac:dyDescent="0.25">
      <c r="A37" s="21" t="s">
        <v>35</v>
      </c>
      <c r="B37" s="34" t="s">
        <v>43</v>
      </c>
      <c r="C37" s="21" t="s">
        <v>46</v>
      </c>
      <c r="D37" s="23">
        <v>768158</v>
      </c>
      <c r="E37" s="24">
        <v>66145</v>
      </c>
      <c r="F37">
        <f>Uppsjavarfiskur2[[#This Row],[Fangstverdi (1000 kr)]]/Uppsjavarfiskur2[[#This Row],[Rundvekt (tonn)]]</f>
        <v>11.613243631415829</v>
      </c>
      <c r="G37">
        <f>Uppsjavarfiskur2[[#This Row],[Meðalverð NOK]]*$G$1</f>
        <v>149.18372768916774</v>
      </c>
      <c r="H37" s="18">
        <v>1079000</v>
      </c>
      <c r="I37" s="1">
        <v>1</v>
      </c>
      <c r="J37" s="2">
        <f>Uppsjavarfiskur2[[#This Row],[Aflamagn íslenskra skipa kg]]*(Uppsjavarfiskur2[[#This Row],[Meðalverð ISK]]*Uppsjavarfiskur2[[#This Row],[Stuðull]])</f>
        <v>160969242.17661199</v>
      </c>
      <c r="K37" s="25">
        <f>Uppsjavarfiskur2[[#This Row],[Aflamagn íslenskra skipa kg]]/SUMIF(Uppsjavarfiskur2[Fisktegund],Uppsjavarfiskur2[[#This Row],[Fisktegund]],Uppsjavarfiskur2[Aflamagn íslenskra skipa kg])</f>
        <v>1.7137048742912504E-2</v>
      </c>
      <c r="L37" t="str">
        <f>IF(Uppsjavarfiskur2[[#This Row],[Hlutfall]]&gt;=$L$1,"Já","Nei")</f>
        <v>Nei</v>
      </c>
    </row>
    <row r="38" spans="1:12" x14ac:dyDescent="0.25">
      <c r="A38" s="26" t="s">
        <v>35</v>
      </c>
      <c r="B38" s="33" t="s">
        <v>44</v>
      </c>
      <c r="C38" s="26" t="s">
        <v>46</v>
      </c>
      <c r="D38" s="28">
        <v>37426</v>
      </c>
      <c r="E38" s="29">
        <v>3586</v>
      </c>
      <c r="F38">
        <f>Uppsjavarfiskur2[[#This Row],[Fangstverdi (1000 kr)]]/Uppsjavarfiskur2[[#This Row],[Rundvekt (tonn)]]</f>
        <v>10.4366982710541</v>
      </c>
      <c r="G38">
        <f>Uppsjavarfiskur2[[#This Row],[Meðalverð NOK]]*$G$1</f>
        <v>134.06982598996098</v>
      </c>
      <c r="H38" s="18">
        <v>0</v>
      </c>
      <c r="I38" s="1">
        <v>1</v>
      </c>
      <c r="J38" s="2">
        <f>Uppsjavarfiskur2[[#This Row],[Aflamagn íslenskra skipa kg]]*(Uppsjavarfiskur2[[#This Row],[Meðalverð ISK]]*Uppsjavarfiskur2[[#This Row],[Stuðull]])</f>
        <v>0</v>
      </c>
      <c r="K38" s="25">
        <f>Uppsjavarfiskur2[[#This Row],[Aflamagn íslenskra skipa kg]]/SUMIF(Uppsjavarfiskur2[Fisktegund],Uppsjavarfiskur2[[#This Row],[Fisktegund]],Uppsjavarfiskur2[Aflamagn íslenskra skipa kg])</f>
        <v>0</v>
      </c>
      <c r="L38" t="str">
        <f>IF(Uppsjavarfiskur2[[#This Row],[Hlutfall]]&gt;=$L$1,"Já","Nei")</f>
        <v>Nei</v>
      </c>
    </row>
    <row r="39" spans="1:12" x14ac:dyDescent="0.25">
      <c r="A39" s="21" t="s">
        <v>37</v>
      </c>
      <c r="B39" s="34" t="s">
        <v>28</v>
      </c>
      <c r="C39" s="21" t="s">
        <v>46</v>
      </c>
      <c r="D39" s="23">
        <v>769237</v>
      </c>
      <c r="E39" s="24">
        <v>72202</v>
      </c>
      <c r="F39">
        <f>Uppsjavarfiskur2[[#This Row],[Fangstverdi (1000 kr)]]/Uppsjavarfiskur2[[#This Row],[Rundvekt (tonn)]]</f>
        <v>10.653956954100995</v>
      </c>
      <c r="G39">
        <f>Uppsjavarfiskur2[[#This Row],[Meðalverð NOK]]*$G$1</f>
        <v>136.86073103238138</v>
      </c>
      <c r="H39" s="18">
        <v>1191000</v>
      </c>
      <c r="I39" s="1"/>
      <c r="J39" s="2"/>
      <c r="K39" s="25">
        <f>Uppsjavarfiskur2[[#This Row],[Aflamagn íslenskra skipa kg]]/SUMIF(Uppsjavarfiskur2[Fisktegund],Uppsjavarfiskur2[[#This Row],[Fisktegund]],Uppsjavarfiskur2[Aflamagn íslenskra skipa kg])</f>
        <v>1.6587974762879706E-2</v>
      </c>
      <c r="L39" t="str">
        <f>IF(Uppsjavarfiskur2[[#This Row],[Hlutfall]]&gt;=$L$1,"Já","Nei")</f>
        <v>Nei</v>
      </c>
    </row>
    <row r="40" spans="1:12" x14ac:dyDescent="0.25">
      <c r="A40" s="44" t="s">
        <v>37</v>
      </c>
      <c r="B40" s="33" t="s">
        <v>30</v>
      </c>
      <c r="C40" s="26" t="s">
        <v>46</v>
      </c>
      <c r="D40" s="28">
        <v>289240</v>
      </c>
      <c r="E40" s="29">
        <v>28033</v>
      </c>
      <c r="F40">
        <f>Uppsjavarfiskur2[[#This Row],[Fangstverdi (1000 kr)]]/Uppsjavarfiskur2[[#This Row],[Rundvekt (tonn)]]</f>
        <v>10.317839688938037</v>
      </c>
      <c r="G40">
        <f>Uppsjavarfiskur2[[#This Row],[Meðalverð NOK]]*$G$1</f>
        <v>132.54296864409801</v>
      </c>
      <c r="H40" s="18">
        <v>364000</v>
      </c>
      <c r="I40" s="1"/>
      <c r="J40" s="2"/>
      <c r="K40" s="25">
        <f>Uppsjavarfiskur2[[#This Row],[Aflamagn íslenskra skipa kg]]/SUMIF(Uppsjavarfiskur2[Fisktegund],Uppsjavarfiskur2[[#This Row],[Fisktegund]],Uppsjavarfiskur2[Aflamagn íslenskra skipa kg])</f>
        <v>5.0697084917617234E-3</v>
      </c>
      <c r="L40" t="str">
        <f>IF(Uppsjavarfiskur2[[#This Row],[Hlutfall]]&gt;=$L$1,"Já","Nei")</f>
        <v>Nei</v>
      </c>
    </row>
    <row r="41" spans="1:12" x14ac:dyDescent="0.25">
      <c r="A41" s="44" t="s">
        <v>37</v>
      </c>
      <c r="B41" s="34" t="s">
        <v>32</v>
      </c>
      <c r="C41" s="21" t="s">
        <v>46</v>
      </c>
      <c r="D41" s="23">
        <v>7701</v>
      </c>
      <c r="E41" s="40">
        <v>880</v>
      </c>
      <c r="F41">
        <f>Uppsjavarfiskur2[[#This Row],[Fangstverdi (1000 kr)]]/Uppsjavarfiskur2[[#This Row],[Rundvekt (tonn)]]</f>
        <v>8.7511363636363644</v>
      </c>
      <c r="G41">
        <f>Uppsjavarfiskur2[[#This Row],[Meðalverð NOK]]*$G$1</f>
        <v>112.41709772727273</v>
      </c>
      <c r="H41" s="18">
        <v>0</v>
      </c>
      <c r="I41" s="1"/>
      <c r="J41" s="2"/>
      <c r="K41" s="25">
        <f>Uppsjavarfiskur2[[#This Row],[Aflamagn íslenskra skipa kg]]/SUMIF(Uppsjavarfiskur2[Fisktegund],Uppsjavarfiskur2[[#This Row],[Fisktegund]],Uppsjavarfiskur2[Aflamagn íslenskra skipa kg])</f>
        <v>0</v>
      </c>
      <c r="L41" t="str">
        <f>IF(Uppsjavarfiskur2[[#This Row],[Hlutfall]]&gt;=$L$1,"Já","Nei")</f>
        <v>Nei</v>
      </c>
    </row>
    <row r="42" spans="1:12" x14ac:dyDescent="0.25">
      <c r="A42" s="44" t="s">
        <v>37</v>
      </c>
      <c r="B42" s="33" t="s">
        <v>34</v>
      </c>
      <c r="C42" s="26" t="s">
        <v>46</v>
      </c>
      <c r="D42" s="28">
        <v>95</v>
      </c>
      <c r="E42" s="35">
        <v>14</v>
      </c>
      <c r="F42">
        <f>Uppsjavarfiskur2[[#This Row],[Fangstverdi (1000 kr)]]/Uppsjavarfiskur2[[#This Row],[Rundvekt (tonn)]]</f>
        <v>6.7857142857142856</v>
      </c>
      <c r="G42">
        <f>Uppsjavarfiskur2[[#This Row],[Meðalverð NOK]]*$G$1</f>
        <v>87.169285714285706</v>
      </c>
      <c r="H42" s="18">
        <v>0</v>
      </c>
      <c r="I42" s="1"/>
      <c r="J42" s="2"/>
      <c r="K42" s="25">
        <f>Uppsjavarfiskur2[[#This Row],[Aflamagn íslenskra skipa kg]]/SUMIF(Uppsjavarfiskur2[Fisktegund],Uppsjavarfiskur2[[#This Row],[Fisktegund]],Uppsjavarfiskur2[Aflamagn íslenskra skipa kg])</f>
        <v>0</v>
      </c>
      <c r="L42" t="str">
        <f>IF(Uppsjavarfiskur2[[#This Row],[Hlutfall]]&gt;=$L$1,"Já","Nei")</f>
        <v>Nei</v>
      </c>
    </row>
    <row r="43" spans="1:12" x14ac:dyDescent="0.25">
      <c r="A43" s="44" t="s">
        <v>37</v>
      </c>
      <c r="B43" s="34" t="s">
        <v>36</v>
      </c>
      <c r="C43" s="21" t="s">
        <v>46</v>
      </c>
      <c r="D43" s="23">
        <v>155</v>
      </c>
      <c r="E43" s="40">
        <v>16</v>
      </c>
      <c r="F43">
        <f>Uppsjavarfiskur2[[#This Row],[Fangstverdi (1000 kr)]]/Uppsjavarfiskur2[[#This Row],[Rundvekt (tonn)]]</f>
        <v>9.6875</v>
      </c>
      <c r="G43">
        <f>Uppsjavarfiskur2[[#This Row],[Meðalverð NOK]]*$G$1</f>
        <v>124.44562500000001</v>
      </c>
      <c r="H43" s="18">
        <v>0</v>
      </c>
      <c r="I43" s="1"/>
      <c r="J43" s="2"/>
      <c r="K43" s="25">
        <f>Uppsjavarfiskur2[[#This Row],[Aflamagn íslenskra skipa kg]]/SUMIF(Uppsjavarfiskur2[Fisktegund],Uppsjavarfiskur2[[#This Row],[Fisktegund]],Uppsjavarfiskur2[Aflamagn íslenskra skipa kg])</f>
        <v>0</v>
      </c>
      <c r="L43" t="str">
        <f>IF(Uppsjavarfiskur2[[#This Row],[Hlutfall]]&gt;=$L$1,"Já","Nei")</f>
        <v>Nei</v>
      </c>
    </row>
    <row r="44" spans="1:12" x14ac:dyDescent="0.25">
      <c r="A44" s="44" t="s">
        <v>37</v>
      </c>
      <c r="B44" s="33" t="s">
        <v>38</v>
      </c>
      <c r="C44" s="26" t="s">
        <v>46</v>
      </c>
      <c r="D44" s="28">
        <v>745</v>
      </c>
      <c r="E44" s="35">
        <v>99</v>
      </c>
      <c r="F44">
        <f>Uppsjavarfiskur2[[#This Row],[Fangstverdi (1000 kr)]]/Uppsjavarfiskur2[[#This Row],[Rundvekt (tonn)]]</f>
        <v>7.5252525252525251</v>
      </c>
      <c r="G44">
        <f>Uppsjavarfiskur2[[#This Row],[Meðalverð NOK]]*$G$1</f>
        <v>96.669393939393942</v>
      </c>
      <c r="H44" s="18">
        <v>0</v>
      </c>
      <c r="I44" s="1"/>
      <c r="J44" s="2"/>
      <c r="K44" s="25">
        <f>Uppsjavarfiskur2[[#This Row],[Aflamagn íslenskra skipa kg]]/SUMIF(Uppsjavarfiskur2[Fisktegund],Uppsjavarfiskur2[[#This Row],[Fisktegund]],Uppsjavarfiskur2[Aflamagn íslenskra skipa kg])</f>
        <v>0</v>
      </c>
      <c r="L44" t="str">
        <f>IF(Uppsjavarfiskur2[[#This Row],[Hlutfall]]&gt;=$L$1,"Já","Nei")</f>
        <v>Nei</v>
      </c>
    </row>
    <row r="45" spans="1:12" x14ac:dyDescent="0.25">
      <c r="A45" s="44" t="s">
        <v>37</v>
      </c>
      <c r="B45" s="34" t="s">
        <v>39</v>
      </c>
      <c r="C45" s="21" t="s">
        <v>46</v>
      </c>
      <c r="D45" s="23">
        <v>5815</v>
      </c>
      <c r="E45" s="40">
        <v>697</v>
      </c>
      <c r="F45">
        <f>Uppsjavarfiskur2[[#This Row],[Fangstverdi (1000 kr)]]/Uppsjavarfiskur2[[#This Row],[Rundvekt (tonn)]]</f>
        <v>8.3428981348637024</v>
      </c>
      <c r="G45">
        <f>Uppsjavarfiskur2[[#This Row],[Meðalverð NOK]]*$G$1</f>
        <v>107.17286944045912</v>
      </c>
      <c r="H45" s="18">
        <v>643000</v>
      </c>
      <c r="I45" s="1"/>
      <c r="J45" s="2"/>
      <c r="K45" s="25">
        <f>Uppsjavarfiskur2[[#This Row],[Aflamagn íslenskra skipa kg]]/SUMIF(Uppsjavarfiskur2[Fisktegund],Uppsjavarfiskur2[[#This Row],[Fisktegund]],Uppsjavarfiskur2[Aflamagn íslenskra skipa kg])</f>
        <v>8.9555564840735936E-3</v>
      </c>
      <c r="L45" t="str">
        <f>IF(Uppsjavarfiskur2[[#This Row],[Hlutfall]]&gt;=$L$1,"Já","Nei")</f>
        <v>Nei</v>
      </c>
    </row>
    <row r="46" spans="1:12" x14ac:dyDescent="0.25">
      <c r="A46" s="44" t="s">
        <v>37</v>
      </c>
      <c r="B46" s="33" t="s">
        <v>40</v>
      </c>
      <c r="C46" s="26" t="s">
        <v>46</v>
      </c>
      <c r="D46" s="28">
        <v>6420</v>
      </c>
      <c r="E46" s="35">
        <v>752</v>
      </c>
      <c r="F46">
        <f>Uppsjavarfiskur2[[#This Row],[Fangstverdi (1000 kr)]]/Uppsjavarfiskur2[[#This Row],[Rundvekt (tonn)]]</f>
        <v>8.537234042553191</v>
      </c>
      <c r="G46">
        <f>Uppsjavarfiskur2[[#This Row],[Meðalverð NOK]]*$G$1</f>
        <v>109.66930851063829</v>
      </c>
      <c r="H46" s="18">
        <v>349000</v>
      </c>
      <c r="I46" s="1"/>
      <c r="J46" s="2"/>
      <c r="K46" s="25">
        <f>Uppsjavarfiskur2[[#This Row],[Aflamagn íslenskra skipa kg]]/SUMIF(Uppsjavarfiskur2[Fisktegund],Uppsjavarfiskur2[[#This Row],[Fisktegund]],Uppsjavarfiskur2[Aflamagn íslenskra skipa kg])</f>
        <v>4.860791933035279E-3</v>
      </c>
      <c r="L46" t="str">
        <f>IF(Uppsjavarfiskur2[[#This Row],[Hlutfall]]&gt;=$L$1,"Já","Nei")</f>
        <v>Nei</v>
      </c>
    </row>
    <row r="47" spans="1:12" x14ac:dyDescent="0.25">
      <c r="A47" s="44" t="s">
        <v>37</v>
      </c>
      <c r="B47" s="34" t="s">
        <v>41</v>
      </c>
      <c r="C47" s="21" t="s">
        <v>46</v>
      </c>
      <c r="D47" s="23">
        <v>3522</v>
      </c>
      <c r="E47" s="40">
        <v>525</v>
      </c>
      <c r="F47">
        <f>Uppsjavarfiskur2[[#This Row],[Fangstverdi (1000 kr)]]/Uppsjavarfiskur2[[#This Row],[Rundvekt (tonn)]]</f>
        <v>6.7085714285714282</v>
      </c>
      <c r="G47">
        <f>Uppsjavarfiskur2[[#This Row],[Meðalverð NOK]]*$G$1</f>
        <v>86.178308571428573</v>
      </c>
      <c r="H47" s="18">
        <v>12647000</v>
      </c>
      <c r="I47" s="1"/>
      <c r="J47" s="2"/>
      <c r="K47" s="25">
        <f>Uppsjavarfiskur2[[#This Row],[Aflamagn íslenskra skipa kg]]/SUMIF(Uppsjavarfiskur2[Fisktegund],Uppsjavarfiskur2[[#This Row],[Fisktegund]],Uppsjavarfiskur2[Aflamagn íslenskra skipa kg])</f>
        <v>0.17614451454755636</v>
      </c>
      <c r="L47" t="str">
        <f>IF(Uppsjavarfiskur2[[#This Row],[Hlutfall]]&gt;=$L$1,"Já","Nei")</f>
        <v>Já</v>
      </c>
    </row>
    <row r="48" spans="1:12" x14ac:dyDescent="0.25">
      <c r="A48" s="44" t="s">
        <v>37</v>
      </c>
      <c r="B48" s="33" t="s">
        <v>42</v>
      </c>
      <c r="C48" s="26" t="s">
        <v>46</v>
      </c>
      <c r="D48" s="28">
        <v>1081402</v>
      </c>
      <c r="E48" s="29">
        <v>97422</v>
      </c>
      <c r="F48">
        <f>Uppsjavarfiskur2[[#This Row],[Fangstverdi (1000 kr)]]/Uppsjavarfiskur2[[#This Row],[Rundvekt (tonn)]]</f>
        <v>11.100182710270781</v>
      </c>
      <c r="G48">
        <f>Uppsjavarfiskur2[[#This Row],[Meðalverð NOK]]*$G$1</f>
        <v>142.59294709613846</v>
      </c>
      <c r="H48" s="18">
        <v>7685000</v>
      </c>
      <c r="I48" s="1"/>
      <c r="J48" s="2"/>
      <c r="K48" s="25">
        <f>Uppsjavarfiskur2[[#This Row],[Aflamagn íslenskra skipa kg]]/SUMIF(Uppsjavarfiskur2[Fisktegund],Uppsjavarfiskur2[[#This Row],[Fisktegund]],Uppsjavarfiskur2[Aflamagn íslenskra skipa kg])</f>
        <v>0.10703491692084847</v>
      </c>
      <c r="L48" t="str">
        <f>IF(Uppsjavarfiskur2[[#This Row],[Hlutfall]]&gt;=$L$1,"Já","Nei")</f>
        <v>Já</v>
      </c>
    </row>
    <row r="49" spans="1:12" x14ac:dyDescent="0.25">
      <c r="A49" s="44" t="s">
        <v>37</v>
      </c>
      <c r="B49" s="34" t="s">
        <v>43</v>
      </c>
      <c r="C49" s="21" t="s">
        <v>46</v>
      </c>
      <c r="D49" s="23">
        <v>768158</v>
      </c>
      <c r="E49" s="24">
        <v>66145</v>
      </c>
      <c r="F49">
        <f>Uppsjavarfiskur2[[#This Row],[Fangstverdi (1000 kr)]]/Uppsjavarfiskur2[[#This Row],[Rundvekt (tonn)]]</f>
        <v>11.613243631415829</v>
      </c>
      <c r="G49">
        <f>Uppsjavarfiskur2[[#This Row],[Meðalverð NOK]]*$G$1</f>
        <v>149.18372768916774</v>
      </c>
      <c r="H49" s="18">
        <v>35146000</v>
      </c>
      <c r="I49" s="1"/>
      <c r="J49" s="2"/>
      <c r="K49" s="25">
        <f>Uppsjavarfiskur2[[#This Row],[Aflamagn íslenskra skipa kg]]/SUMIF(Uppsjavarfiskur2[Fisktegund],Uppsjavarfiskur2[[#This Row],[Fisktegund]],Uppsjavarfiskur2[Aflamagn íslenskra skipa kg])</f>
        <v>0.48950542486664161</v>
      </c>
      <c r="L49" t="str">
        <f>IF(Uppsjavarfiskur2[[#This Row],[Hlutfall]]&gt;=$L$1,"Já","Nei")</f>
        <v>Já</v>
      </c>
    </row>
    <row r="50" spans="1:12" ht="15.75" thickBot="1" x14ac:dyDescent="0.3">
      <c r="A50" s="44" t="s">
        <v>37</v>
      </c>
      <c r="B50" s="45" t="s">
        <v>44</v>
      </c>
      <c r="C50" s="46" t="s">
        <v>46</v>
      </c>
      <c r="D50" s="47">
        <v>37426</v>
      </c>
      <c r="E50" s="48">
        <v>3586</v>
      </c>
      <c r="F50">
        <f>Uppsjavarfiskur2[[#This Row],[Fangstverdi (1000 kr)]]/Uppsjavarfiskur2[[#This Row],[Rundvekt (tonn)]]</f>
        <v>10.4366982710541</v>
      </c>
      <c r="G50">
        <f>Uppsjavarfiskur2[[#This Row],[Meðalverð NOK]]*$G$1</f>
        <v>134.06982598996098</v>
      </c>
      <c r="H50" s="49">
        <v>13774000</v>
      </c>
      <c r="I50" s="1"/>
      <c r="J50" s="2"/>
      <c r="K50" s="50">
        <f>Uppsjavarfiskur2[[#This Row],[Aflamagn íslenskra skipa kg]]/SUMIF(Uppsjavarfiskur2[Fisktegund],Uppsjavarfiskur2[[#This Row],[Fisktegund]],Uppsjavarfiskur2[Aflamagn íslenskra skipa kg])</f>
        <v>0.19184111199320325</v>
      </c>
      <c r="L50" t="str">
        <f>IF(Uppsjavarfiskur2[[#This Row],[Hlutfall]]&gt;=$L$1,"Já","Nei")</f>
        <v>Já</v>
      </c>
    </row>
  </sheetData>
  <mergeCells count="1">
    <mergeCell ref="B1:E1"/>
  </mergeCells>
  <hyperlinks>
    <hyperlink ref="O11" r:id="rId1" display="https://www.fiskeridir.no/statistikk-tall-og-analyse/data-og-statistikk-om-yrkesfiske/fangst/fangst-fordelt-pa-maned" xr:uid="{67FBC589-6ACF-46A1-AAC6-5E008B016FBB}"/>
  </hyperlinks>
  <pageMargins left="0.7" right="0.7" top="0.75" bottom="0.75" header="0.3" footer="0.3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Þorskur og ýsa</vt:lpstr>
      <vt:lpstr>Uppsjávarfiskur</vt:lpstr>
    </vt:vector>
  </TitlesOfParts>
  <Company>Fiskistofa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Óttar Gautur Erlingsson - FISK</dc:creator>
  <cp:lastModifiedBy>Óttar Gautur Erlingsson - FISK</cp:lastModifiedBy>
  <dcterms:created xsi:type="dcterms:W3CDTF">2025-12-01T09:44:09Z</dcterms:created>
  <dcterms:modified xsi:type="dcterms:W3CDTF">2025-12-03T05:23:53Z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c80478f-11da-4717-908f-ce13ec08de93_Enabled">
    <vt:lpwstr>true</vt:lpwstr>
  </property>
  <property fmtid="{D5CDD505-2E9C-101B-9397-08002B2CF9AE}" pid="3" name="MSIP_Label_dc80478f-11da-4717-908f-ce13ec08de93_SetDate">
    <vt:lpwstr>2025-12-01T09:47:45Z</vt:lpwstr>
  </property>
  <property fmtid="{D5CDD505-2E9C-101B-9397-08002B2CF9AE}" pid="4" name="MSIP_Label_dc80478f-11da-4717-908f-ce13ec08de93_Method">
    <vt:lpwstr>Standard</vt:lpwstr>
  </property>
  <property fmtid="{D5CDD505-2E9C-101B-9397-08002B2CF9AE}" pid="5" name="MSIP_Label_dc80478f-11da-4717-908f-ce13ec08de93_Name">
    <vt:lpwstr>Varin</vt:lpwstr>
  </property>
  <property fmtid="{D5CDD505-2E9C-101B-9397-08002B2CF9AE}" pid="6" name="MSIP_Label_dc80478f-11da-4717-908f-ce13ec08de93_SiteId">
    <vt:lpwstr>764a306d-0a68-45ad-9f07-6f1804447cd4</vt:lpwstr>
  </property>
  <property fmtid="{D5CDD505-2E9C-101B-9397-08002B2CF9AE}" pid="7" name="MSIP_Label_dc80478f-11da-4717-908f-ce13ec08de93_ActionId">
    <vt:lpwstr>643f6e18-f192-4158-bf00-04b558ac4581</vt:lpwstr>
  </property>
  <property fmtid="{D5CDD505-2E9C-101B-9397-08002B2CF9AE}" pid="8" name="MSIP_Label_dc80478f-11da-4717-908f-ce13ec08de93_ContentBits">
    <vt:lpwstr>0</vt:lpwstr>
  </property>
  <property fmtid="{D5CDD505-2E9C-101B-9397-08002B2CF9AE}" pid="9" name="MSIP_Label_dc80478f-11da-4717-908f-ce13ec08de93_Tag">
    <vt:lpwstr>10, 3, 0, 1</vt:lpwstr>
  </property>
</Properties>
</file>