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60" yWindow="576" windowWidth="20136" windowHeight="6672"/>
  </bookViews>
  <sheets>
    <sheet name="Voorblad" sheetId="40" r:id="rId1"/>
    <sheet name="Parameters ULL" sheetId="33" r:id="rId2"/>
    <sheet name="collocatie" sheetId="34" r:id="rId3"/>
    <sheet name="Inkoop tarief elementen" sheetId="35" r:id="rId4"/>
    <sheet name="inkoop PSTN" sheetId="36" r:id="rId5"/>
    <sheet name="inkoop ISDN1-2" sheetId="37" r:id="rId6"/>
    <sheet name="inkoop ISDN15-30" sheetId="38" r:id="rId7"/>
    <sheet name="inkoop aansluitingen obv ULL" sheetId="39" r:id="rId8"/>
    <sheet name="Parameters" sheetId="2" r:id="rId9"/>
    <sheet name="Tarieven ZM" sheetId="3" r:id="rId10"/>
    <sheet name="EDC minus lijst ULL" sheetId="32" r:id="rId11"/>
    <sheet name="Kortingsstaffels" sheetId="24" r:id="rId12"/>
    <sheet name="Hulpblad inkooptarieven" sheetId="10" r:id="rId13"/>
    <sheet name="Gereguleerde verkeeerskosten" sheetId="7" r:id="rId14"/>
    <sheet name="EDC-" sheetId="5" r:id="rId15"/>
    <sheet name="Verkeersprofielen" sheetId="12" r:id="rId16"/>
    <sheet name="Facilitietenprofielen" sheetId="13" r:id="rId17"/>
    <sheet name="Mapping" sheetId="21" r:id="rId18"/>
    <sheet name="WLR" sheetId="11" r:id="rId19"/>
    <sheet name="Rekenblad Aansluiting" sheetId="14" r:id="rId20"/>
    <sheet name="Rekenblad Verkeer" sheetId="15" r:id="rId21"/>
    <sheet name="Rekenblad faciliteiten" sheetId="18" r:id="rId22"/>
    <sheet name="Rekenblad combi" sheetId="16" r:id="rId23"/>
    <sheet name="Vergoedingen grondslag" sheetId="31" r:id="rId24"/>
  </sheets>
  <externalReferences>
    <externalReference r:id="rId25"/>
    <externalReference r:id="rId26"/>
    <externalReference r:id="rId27"/>
  </externalReferences>
  <definedNames>
    <definedName name="_________b1" localSheetId="0" hidden="1">{#N/A,"Hoge Q Lage P",FALSE,"Tarieven"}</definedName>
    <definedName name="_________b1" hidden="1">{#N/A,"Hoge Q Lage P",FALSE,"Tarieven"}</definedName>
    <definedName name="_________b11" localSheetId="0" hidden="1">{#N/A,"Hoge Q Lage P",FALSE,"Tarieven"}</definedName>
    <definedName name="_________b11" hidden="1">{#N/A,"Hoge Q Lage P",FALSE,"Tarieven"}</definedName>
    <definedName name="_________b111" localSheetId="0" hidden="1">{#N/A,"Hoge Q Lage P",FALSE,"Tarieven"}</definedName>
    <definedName name="_________b111" hidden="1">{#N/A,"Hoge Q Lage P",FALSE,"Tarieven"}</definedName>
    <definedName name="_________bbb1" localSheetId="0" hidden="1">{#N/A,"Hoge Q Lage P",FALSE,"Tarieven"}</definedName>
    <definedName name="_________bbb1" hidden="1">{#N/A,"Hoge Q Lage P",FALSE,"Tarieven"}</definedName>
    <definedName name="_________xx1" localSheetId="0" hidden="1">{#N/A,"Hoge Q Lage P",FALSE,"Tarieven"}</definedName>
    <definedName name="_________xx1" hidden="1">{#N/A,"Hoge Q Lage P",FALSE,"Tarieven"}</definedName>
    <definedName name="_________z1" localSheetId="0" hidden="1">{#N/A,"Hoge Q Gelijke P",FALSE,"Tarieven"}</definedName>
    <definedName name="_________z1" hidden="1">{#N/A,"Hoge Q Gelijke P",FALSE,"Tarieven"}</definedName>
    <definedName name="_________z11" localSheetId="0" hidden="1">{#N/A,"Hoge Q Gelijke P",FALSE,"Tarieven"}</definedName>
    <definedName name="_________z11" hidden="1">{#N/A,"Hoge Q Gelijke P",FALSE,"Tarieven"}</definedName>
    <definedName name="_______b1" localSheetId="0" hidden="1">{#N/A,"Hoge Q Lage P",FALSE,"Tarieven"}</definedName>
    <definedName name="_______b1" hidden="1">{#N/A,"Hoge Q Lage P",FALSE,"Tarieven"}</definedName>
    <definedName name="_______b11" localSheetId="0" hidden="1">{#N/A,"Hoge Q Lage P",FALSE,"Tarieven"}</definedName>
    <definedName name="_______b11" hidden="1">{#N/A,"Hoge Q Lage P",FALSE,"Tarieven"}</definedName>
    <definedName name="_______b111" localSheetId="0" hidden="1">{#N/A,"Hoge Q Lage P",FALSE,"Tarieven"}</definedName>
    <definedName name="_______b111" hidden="1">{#N/A,"Hoge Q Lage P",FALSE,"Tarieven"}</definedName>
    <definedName name="_______bbb1" localSheetId="0" hidden="1">{#N/A,"Hoge Q Lage P",FALSE,"Tarieven"}</definedName>
    <definedName name="_______bbb1" hidden="1">{#N/A,"Hoge Q Lage P",FALSE,"Tarieven"}</definedName>
    <definedName name="_______xx1" localSheetId="0" hidden="1">{#N/A,"Hoge Q Lage P",FALSE,"Tarieven"}</definedName>
    <definedName name="_______xx1" hidden="1">{#N/A,"Hoge Q Lage P",FALSE,"Tarieven"}</definedName>
    <definedName name="_______z1" localSheetId="0" hidden="1">{#N/A,"Hoge Q Gelijke P",FALSE,"Tarieven"}</definedName>
    <definedName name="_______z1" hidden="1">{#N/A,"Hoge Q Gelijke P",FALSE,"Tarieven"}</definedName>
    <definedName name="_______z11" localSheetId="0" hidden="1">{#N/A,"Hoge Q Gelijke P",FALSE,"Tarieven"}</definedName>
    <definedName name="_______z11" hidden="1">{#N/A,"Hoge Q Gelijke P",FALSE,"Tarieven"}</definedName>
    <definedName name="______b1" localSheetId="0" hidden="1">{#N/A,"Hoge Q Lage P",FALSE,"Tarieven"}</definedName>
    <definedName name="______b1" hidden="1">{#N/A,"Hoge Q Lage P",FALSE,"Tarieven"}</definedName>
    <definedName name="______b11" localSheetId="0" hidden="1">{#N/A,"Hoge Q Lage P",FALSE,"Tarieven"}</definedName>
    <definedName name="______b11" hidden="1">{#N/A,"Hoge Q Lage P",FALSE,"Tarieven"}</definedName>
    <definedName name="______b111" localSheetId="0" hidden="1">{#N/A,"Hoge Q Lage P",FALSE,"Tarieven"}</definedName>
    <definedName name="______b111" hidden="1">{#N/A,"Hoge Q Lage P",FALSE,"Tarieven"}</definedName>
    <definedName name="______bbb1" localSheetId="0" hidden="1">{#N/A,"Hoge Q Lage P",FALSE,"Tarieven"}</definedName>
    <definedName name="______bbb1" hidden="1">{#N/A,"Hoge Q Lage P",FALSE,"Tarieven"}</definedName>
    <definedName name="______xx1" localSheetId="0" hidden="1">{#N/A,"Hoge Q Lage P",FALSE,"Tarieven"}</definedName>
    <definedName name="______xx1" hidden="1">{#N/A,"Hoge Q Lage P",FALSE,"Tarieven"}</definedName>
    <definedName name="______z1" localSheetId="0" hidden="1">{#N/A,"Hoge Q Gelijke P",FALSE,"Tarieven"}</definedName>
    <definedName name="______z1" hidden="1">{#N/A,"Hoge Q Gelijke P",FALSE,"Tarieven"}</definedName>
    <definedName name="______z11" localSheetId="0" hidden="1">{#N/A,"Hoge Q Gelijke P",FALSE,"Tarieven"}</definedName>
    <definedName name="______z11" hidden="1">{#N/A,"Hoge Q Gelijke P",FALSE,"Tarieven"}</definedName>
    <definedName name="_____b1" localSheetId="0" hidden="1">{#N/A,"Hoge Q Lage P",FALSE,"Tarieven"}</definedName>
    <definedName name="_____b1" hidden="1">{#N/A,"Hoge Q Lage P",FALSE,"Tarieven"}</definedName>
    <definedName name="_____b11" localSheetId="0" hidden="1">{#N/A,"Hoge Q Lage P",FALSE,"Tarieven"}</definedName>
    <definedName name="_____b11" hidden="1">{#N/A,"Hoge Q Lage P",FALSE,"Tarieven"}</definedName>
    <definedName name="_____b111" localSheetId="0" hidden="1">{#N/A,"Hoge Q Lage P",FALSE,"Tarieven"}</definedName>
    <definedName name="_____b111" hidden="1">{#N/A,"Hoge Q Lage P",FALSE,"Tarieven"}</definedName>
    <definedName name="_____bbb1" localSheetId="0" hidden="1">{#N/A,"Hoge Q Lage P",FALSE,"Tarieven"}</definedName>
    <definedName name="_____bbb1" hidden="1">{#N/A,"Hoge Q Lage P",FALSE,"Tarieven"}</definedName>
    <definedName name="_____xx1" localSheetId="0" hidden="1">{#N/A,"Hoge Q Lage P",FALSE,"Tarieven"}</definedName>
    <definedName name="_____xx1" hidden="1">{#N/A,"Hoge Q Lage P",FALSE,"Tarieven"}</definedName>
    <definedName name="_____z1" localSheetId="0" hidden="1">{#N/A,"Hoge Q Gelijke P",FALSE,"Tarieven"}</definedName>
    <definedName name="_____z1" hidden="1">{#N/A,"Hoge Q Gelijke P",FALSE,"Tarieven"}</definedName>
    <definedName name="_____z11" localSheetId="0" hidden="1">{#N/A,"Hoge Q Gelijke P",FALSE,"Tarieven"}</definedName>
    <definedName name="_____z11" hidden="1">{#N/A,"Hoge Q Gelijke P",FALSE,"Tarieven"}</definedName>
    <definedName name="___b1" localSheetId="0" hidden="1">{#N/A,"Hoge Q Lage P",FALSE,"Tarieven"}</definedName>
    <definedName name="___b1" hidden="1">{#N/A,"Hoge Q Lage P",FALSE,"Tarieven"}</definedName>
    <definedName name="___b11" localSheetId="0" hidden="1">{#N/A,"Hoge Q Lage P",FALSE,"Tarieven"}</definedName>
    <definedName name="___b11" hidden="1">{#N/A,"Hoge Q Lage P",FALSE,"Tarieven"}</definedName>
    <definedName name="___b111" localSheetId="0" hidden="1">{#N/A,"Hoge Q Lage P",FALSE,"Tarieven"}</definedName>
    <definedName name="___b111" hidden="1">{#N/A,"Hoge Q Lage P",FALSE,"Tarieven"}</definedName>
    <definedName name="___bbb1" localSheetId="0" hidden="1">{#N/A,"Hoge Q Lage P",FALSE,"Tarieven"}</definedName>
    <definedName name="___bbb1" hidden="1">{#N/A,"Hoge Q Lage P",FALSE,"Tarieven"}</definedName>
    <definedName name="___xx1" localSheetId="0" hidden="1">{#N/A,"Hoge Q Lage P",FALSE,"Tarieven"}</definedName>
    <definedName name="___xx1" hidden="1">{#N/A,"Hoge Q Lage P",FALSE,"Tarieven"}</definedName>
    <definedName name="___z1" localSheetId="0" hidden="1">{#N/A,"Hoge Q Gelijke P",FALSE,"Tarieven"}</definedName>
    <definedName name="___z1" hidden="1">{#N/A,"Hoge Q Gelijke P",FALSE,"Tarieven"}</definedName>
    <definedName name="___z11" localSheetId="0" hidden="1">{#N/A,"Hoge Q Gelijke P",FALSE,"Tarieven"}</definedName>
    <definedName name="___z11" hidden="1">{#N/A,"Hoge Q Gelijke P",FALSE,"Tarieven"}</definedName>
    <definedName name="_b1" localSheetId="0" hidden="1">{#N/A,"Hoge Q Lage P",FALSE,"Tarieven"}</definedName>
    <definedName name="_b1" hidden="1">{#N/A,"Hoge Q Lage P",FALSE,"Tarieven"}</definedName>
    <definedName name="_b11" localSheetId="0" hidden="1">{#N/A,"Hoge Q Lage P",FALSE,"Tarieven"}</definedName>
    <definedName name="_b11" hidden="1">{#N/A,"Hoge Q Lage P",FALSE,"Tarieven"}</definedName>
    <definedName name="_b111" localSheetId="0" hidden="1">{#N/A,"Hoge Q Lage P",FALSE,"Tarieven"}</definedName>
    <definedName name="_b111" hidden="1">{#N/A,"Hoge Q Lage P",FALSE,"Tarieven"}</definedName>
    <definedName name="_b2" localSheetId="0" hidden="1">{#N/A,"Hoge Q Lage P",FALSE,"Tarieven"}</definedName>
    <definedName name="_b2" hidden="1">{#N/A,"Hoge Q Lage P",FALSE,"Tarieven"}</definedName>
    <definedName name="_bbb1" localSheetId="0" hidden="1">{#N/A,"Hoge Q Lage P",FALSE,"Tarieven"}</definedName>
    <definedName name="_bbb1" hidden="1">{#N/A,"Hoge Q Lage P",FALSE,"Tarieven"}</definedName>
    <definedName name="_xlnm._FilterDatabase" localSheetId="5" hidden="1">'inkoop ISDN1-2'!$C$10:$Q$16</definedName>
    <definedName name="_xlnm._FilterDatabase" localSheetId="6" hidden="1">'inkoop ISDN15-30'!$C$10:$Q$16</definedName>
    <definedName name="_xlnm._FilterDatabase" localSheetId="4" hidden="1">'inkoop PSTN'!$C$10:$Q$16</definedName>
    <definedName name="_xlnm._FilterDatabase" localSheetId="19" hidden="1">'Rekenblad Aansluiting'!$A$3:$AB$89</definedName>
    <definedName name="_xlnm._FilterDatabase" localSheetId="22" hidden="1">'Rekenblad combi'!$A$3:$AO$3</definedName>
    <definedName name="_xlnm._FilterDatabase" localSheetId="21" hidden="1">'Rekenblad faciliteiten'!$A$3:$FV$20</definedName>
    <definedName name="_xlnm._FilterDatabase" localSheetId="20" hidden="1">'Rekenblad Verkeer'!$A$3:$AW$42</definedName>
    <definedName name="_xlnm._FilterDatabase" localSheetId="0" hidden="1">#REF!</definedName>
    <definedName name="_xlnm._FilterDatabase" localSheetId="18" hidden="1">WLR!$B$2:$J$314</definedName>
    <definedName name="_xlnm._FilterDatabase" hidden="1">#REF!</definedName>
    <definedName name="_FilterDatabase1" localSheetId="0" hidden="1">#REF!</definedName>
    <definedName name="_FilterDatabase1" hidden="1">#REF!</definedName>
    <definedName name="_filterdb" localSheetId="0" hidden="1">#REF!</definedName>
    <definedName name="_filterdb" hidden="1">#REF!</definedName>
    <definedName name="_K2__CVPARAMS__" hidden="1">"Any by Any!$C$14:$D$35;"</definedName>
    <definedName name="_K2__LOCKEDCVW__" hidden="1">#VALUE!</definedName>
    <definedName name="_K2__LOCKSTATUS__" hidden="1">1</definedName>
    <definedName name="_K2__MAXEXPCOLS__" hidden="1">100</definedName>
    <definedName name="_K2__MAXEXPROWS__" hidden="1">1000</definedName>
    <definedName name="_K2__WBEVMODE__" hidden="1">1</definedName>
    <definedName name="_K2__WBREFOPTIONS__" hidden="1">134217772</definedName>
    <definedName name="_K2__WSINFO__" hidden="1">"osoft"</definedName>
    <definedName name="_K2_WBEVMODE" hidden="1">0</definedName>
    <definedName name="_xx1" localSheetId="0" hidden="1">{#N/A,"Hoge Q Lage P",FALSE,"Tarieven"}</definedName>
    <definedName name="_xx1" hidden="1">{#N/A,"Hoge Q Lage P",FALSE,"Tarieven"}</definedName>
    <definedName name="_z1" localSheetId="0" hidden="1">{#N/A,"Hoge Q Gelijke P",FALSE,"Tarieven"}</definedName>
    <definedName name="_z1" hidden="1">{#N/A,"Hoge Q Gelijke P",FALSE,"Tarieven"}</definedName>
    <definedName name="_z11" localSheetId="0" hidden="1">{#N/A,"Hoge Q Gelijke P",FALSE,"Tarieven"}</definedName>
    <definedName name="_z11" hidden="1">{#N/A,"Hoge Q Gelijke P",FALSE,"Tarieven"}</definedName>
    <definedName name="AccessDatabase" hidden="1">"D:\AA\Klanten\Wanadoo\zelfbouw vs WADSL 2.5.mdb"</definedName>
    <definedName name="afr_2">#REF!</definedName>
    <definedName name="afr_3" localSheetId="0">#REF!</definedName>
    <definedName name="afr_3">#REF!</definedName>
    <definedName name="afr_factor" localSheetId="0">#REF!</definedName>
    <definedName name="afr_factor">#REF!</definedName>
    <definedName name="AfschrijftermijnVVE">[1]Parameters!$B$3</definedName>
    <definedName name="b" localSheetId="0" hidden="1">{#N/A,"Hoge Q Lage P",FALSE,"Tarieven"}</definedName>
    <definedName name="b" hidden="1">{#N/A,"Hoge Q Lage P",FALSE,"Tarieven"}</definedName>
    <definedName name="bbb" localSheetId="0" hidden="1">{#N/A,"Hoge Q Lage P",FALSE,"Tarieven"}</definedName>
    <definedName name="bbb" hidden="1">{#N/A,"Hoge Q Lage P",FALSE,"Tarieven"}</definedName>
    <definedName name="BTW">#REF!</definedName>
    <definedName name="BTW_Laag" localSheetId="0">#REF!</definedName>
    <definedName name="BTW_Laag">#REF!</definedName>
    <definedName name="BTW_Vrij" localSheetId="0">#REF!</definedName>
    <definedName name="BTW_Vrij">#REF!</definedName>
    <definedName name="Business_Line" localSheetId="0">[2]PullDown!$BJ$3:$BJ$8</definedName>
    <definedName name="Business_Line">[3]PullDown!$BJ$3:$BJ$8</definedName>
    <definedName name="CellWatch01Descn" hidden="1">""</definedName>
    <definedName name="CellWatch01Name" hidden="1">"FA OROS"</definedName>
    <definedName name="CPS_Mutatie_Eur">#REF!</definedName>
    <definedName name="CurrentSegment" localSheetId="0">[2]Beheer!$C$2</definedName>
    <definedName name="CurrentSegment">[3]Beheer!$C$2</definedName>
    <definedName name="customerbilling_eur" localSheetId="0">#REF!</definedName>
    <definedName name="customerbilling_eur">#REF!</definedName>
    <definedName name="customerbilling_eur_laag" localSheetId="0">#REF!</definedName>
    <definedName name="customerbilling_eur_laag">#REF!</definedName>
    <definedName name="_xlnm.Database" localSheetId="0">#REF!</definedName>
    <definedName name="_xlnm.Database">#REF!</definedName>
    <definedName name="een" localSheetId="0" hidden="1">{#N/A,"Hoge Q Gelijke P",FALSE,"Tarieven"}</definedName>
    <definedName name="een" hidden="1">{#N/A,"Hoge Q Gelijke P",FALSE,"Tarieven"}</definedName>
    <definedName name="eenheid_no_vat_EUR">#REF!</definedName>
    <definedName name="eenheid_vat_EUR" localSheetId="0">#REF!</definedName>
    <definedName name="eenheid_vat_EUR">#REF!</definedName>
    <definedName name="EV__LASTREFTIME__" hidden="1">39456.4930671296</definedName>
    <definedName name="EV__LOCKEDCVW__" hidden="1">#VALUE!</definedName>
    <definedName name="EV__MAXEXPCOLS__" hidden="1">100</definedName>
    <definedName name="EV__MAXEXPROWS__" hidden="1">1000</definedName>
    <definedName name="EV__WBEVMODE__" hidden="1">0</definedName>
    <definedName name="EV__WBREFOPTIONS__" hidden="1">134217783</definedName>
    <definedName name="EV__WBVERSION__" hidden="1">0</definedName>
    <definedName name="EV__WSINFO__" hidden="1">"osoft"</definedName>
    <definedName name="f" localSheetId="0" hidden="1">{#N/A,#N/A,TRUE,"test_graf";#N/A,#N/A,TRUE,"test1_graf";#N/A,#N/A,TRUE,"test7_graf";#N/A,#N/A,TRUE,"test3_graf";#N/A,#N/A,TRUE,"test5_graf";#N/A,#N/A,TRUE,"test6_graf";#N/A,#N/A,TRUE,"test8_graf";#N/A,#N/A,TRUE,"test11_graf";#N/A,#N/A,TRUE,"test10_graf";#N/A,#N/A,TRUE,"test9_graf"}</definedName>
    <definedName name="f" hidden="1">{#N/A,#N/A,TRUE,"test_graf";#N/A,#N/A,TRUE,"test1_graf";#N/A,#N/A,TRUE,"test7_graf";#N/A,#N/A,TRUE,"test3_graf";#N/A,#N/A,TRUE,"test5_graf";#N/A,#N/A,TRUE,"test6_graf";#N/A,#N/A,TRUE,"test8_graf";#N/A,#N/A,TRUE,"test11_graf";#N/A,#N/A,TRUE,"test10_graf";#N/A,#N/A,TRUE,"test9_graf"}</definedName>
    <definedName name="g" localSheetId="0" hidden="1">{#N/A,#N/A,TRUE,"test_graf";#N/A,#N/A,TRUE,"test1_graf";#N/A,#N/A,TRUE,"test7_graf";#N/A,#N/A,TRUE,"test3_graf";#N/A,#N/A,TRUE,"test5_graf";#N/A,#N/A,TRUE,"test6_graf";#N/A,#N/A,TRUE,"test8_graf";#N/A,#N/A,TRUE,"test11_graf";#N/A,#N/A,TRUE,"test10_graf";#N/A,#N/A,TRUE,"test9_graf"}</definedName>
    <definedName name="g" hidden="1">{#N/A,#N/A,TRUE,"test_graf";#N/A,#N/A,TRUE,"test1_graf";#N/A,#N/A,TRUE,"test7_graf";#N/A,#N/A,TRUE,"test3_graf";#N/A,#N/A,TRUE,"test5_graf";#N/A,#N/A,TRUE,"test6_graf";#N/A,#N/A,TRUE,"test8_graf";#N/A,#N/A,TRUE,"test11_graf";#N/A,#N/A,TRUE,"test10_graf";#N/A,#N/A,TRUE,"test9_graf"}</definedName>
    <definedName name="GebruikteStaffelVoorZMTermijnKorting">[1]Parameters!$B$6</definedName>
    <definedName name="handling_eur" localSheetId="0">#REF!</definedName>
    <definedName name="handling_eur">#REF!</definedName>
    <definedName name="handling_eur_laag" localSheetId="0">#REF!</definedName>
    <definedName name="handling_eur_laag">#REF!</definedName>
    <definedName name="iii" localSheetId="0" hidden="1">{#N/A,"Hoge Q Lage P",FALSE,"Tarieven"}</definedName>
    <definedName name="iii" hidden="1">{#N/A,"Hoge Q Lage P",FALSE,"Tarieven"}</definedName>
    <definedName name="inter" localSheetId="0" hidden="1">{#N/A,"Hoge Q Gelijke P",FALSE,"Tarieven"}</definedName>
    <definedName name="inter" hidden="1">{#N/A,"Hoge Q Gelijke P",FALSE,"Tarieven"}</definedName>
    <definedName name="internatio" localSheetId="0" hidden="1">{#N/A,"Hoge Q Lage P",FALSE,"Tarieven"}</definedName>
    <definedName name="internatio" hidden="1">{#N/A,"Hoge Q Lage P",FALSE,"Tarieven"}</definedName>
    <definedName name="Kabels1" localSheetId="0" hidden="1">{#N/A,#N/A,TRUE,"test_graf";#N/A,#N/A,TRUE,"test1_graf";#N/A,#N/A,TRUE,"test7_graf";#N/A,#N/A,TRUE,"test3_graf";#N/A,#N/A,TRUE,"test5_graf";#N/A,#N/A,TRUE,"test6_graf";#N/A,#N/A,TRUE,"test8_graf";#N/A,#N/A,TRUE,"test11_graf";#N/A,#N/A,TRUE,"test10_graf";#N/A,#N/A,TRUE,"test9_graf"}</definedName>
    <definedName name="Kabels1" hidden="1">{#N/A,#N/A,TRUE,"test_graf";#N/A,#N/A,TRUE,"test1_graf";#N/A,#N/A,TRUE,"test7_graf";#N/A,#N/A,TRUE,"test3_graf";#N/A,#N/A,TRUE,"test5_graf";#N/A,#N/A,TRUE,"test6_graf";#N/A,#N/A,TRUE,"test8_graf";#N/A,#N/A,TRUE,"test11_graf";#N/A,#N/A,TRUE,"test10_graf";#N/A,#N/A,TRUE,"test9_graf"}</definedName>
    <definedName name="Kabels2" localSheetId="0" hidden="1">{#N/A,#N/A,TRUE,"test_graf";#N/A,#N/A,TRUE,"test1_graf";#N/A,#N/A,TRUE,"test7_graf";#N/A,#N/A,TRUE,"test3_graf";#N/A,#N/A,TRUE,"test5_graf";#N/A,#N/A,TRUE,"test6_graf";#N/A,#N/A,TRUE,"test8_graf";#N/A,#N/A,TRUE,"test11_graf";#N/A,#N/A,TRUE,"test10_graf";#N/A,#N/A,TRUE,"test9_graf"}</definedName>
    <definedName name="Kabels2" hidden="1">{#N/A,#N/A,TRUE,"test_graf";#N/A,#N/A,TRUE,"test1_graf";#N/A,#N/A,TRUE,"test7_graf";#N/A,#N/A,TRUE,"test3_graf";#N/A,#N/A,TRUE,"test5_graf";#N/A,#N/A,TRUE,"test6_graf";#N/A,#N/A,TRUE,"test8_graf";#N/A,#N/A,TRUE,"test11_graf";#N/A,#N/A,TRUE,"test10_graf";#N/A,#N/A,TRUE,"test9_graf"}</definedName>
    <definedName name="ld" localSheetId="0" hidden="1">{#N/A,"Hoge Q Lage P",FALSE,"Tarieven"}</definedName>
    <definedName name="ld" hidden="1">{#N/A,"Hoge Q Lage P",FALSE,"Tarieven"}</definedName>
    <definedName name="lk" localSheetId="0" hidden="1">{#N/A,"Hoge Q Gelijke P",FALSE,"Tarieven"}</definedName>
    <definedName name="lk" hidden="1">{#N/A,"Hoge Q Gelijke P",FALSE,"Tarieven"}</definedName>
    <definedName name="ll" localSheetId="0" hidden="1">{#N/A,"Hoge Q Lage P",FALSE,"Tarieven"}</definedName>
    <definedName name="ll" hidden="1">{#N/A,"Hoge Q Lage P",FALSE,"Tarieven"}</definedName>
    <definedName name="lls" localSheetId="0" hidden="1">{#N/A,"Hoge Q Gelijke P",FALSE,"Tarieven"}</definedName>
    <definedName name="lls" hidden="1">{#N/A,"Hoge Q Gelijke P",FALSE,"Tarieven"}</definedName>
    <definedName name="local" localSheetId="0" hidden="1">{#N/A,"Hoge Q Gelijke P",FALSE,"Tarieven"}</definedName>
    <definedName name="local" hidden="1">{#N/A,"Hoge Q Gelijke P",FALSE,"Tarieven"}</definedName>
    <definedName name="LocatiegebaseerdeTelefooncentrale" localSheetId="0">'[2]Vast GZM'!$E$20</definedName>
    <definedName name="LocatiegebaseerdeTelefooncentrale">'[3]Vast GZM'!$E$20</definedName>
    <definedName name="LooptijdContract_CurrentSegment" localSheetId="0">[2]Beheer!$E$13</definedName>
    <definedName name="LooptijdContract_CurrentSegment">[3]Beheer!$E$13</definedName>
    <definedName name="LooptijdND5_CurrentSegment" localSheetId="0">[2]Beheer!$E$14</definedName>
    <definedName name="LooptijdND5_CurrentSegment">[3]Beheer!$E$14</definedName>
    <definedName name="lsdkfj" localSheetId="0" hidden="1">{#N/A,#N/A,TRUE,"test_graf";#N/A,#N/A,TRUE,"test1_graf";#N/A,#N/A,TRUE,"test7_graf";#N/A,#N/A,TRUE,"test3_graf";#N/A,#N/A,TRUE,"test5_graf";#N/A,#N/A,TRUE,"test6_graf";#N/A,#N/A,TRUE,"test8_graf";#N/A,#N/A,TRUE,"test11_graf";#N/A,#N/A,TRUE,"test10_graf";#N/A,#N/A,TRUE,"test9_graf"}</definedName>
    <definedName name="lsdkfj" hidden="1">{#N/A,#N/A,TRUE,"test_graf";#N/A,#N/A,TRUE,"test1_graf";#N/A,#N/A,TRUE,"test7_graf";#N/A,#N/A,TRUE,"test3_graf";#N/A,#N/A,TRUE,"test5_graf";#N/A,#N/A,TRUE,"test6_graf";#N/A,#N/A,TRUE,"test8_graf";#N/A,#N/A,TRUE,"test11_graf";#N/A,#N/A,TRUE,"test10_graf";#N/A,#N/A,TRUE,"test9_graf"}</definedName>
    <definedName name="lsdkfk" localSheetId="0" hidden="1">{#N/A,#N/A,TRUE,"test_graf";#N/A,#N/A,TRUE,"test1_graf";#N/A,#N/A,TRUE,"test7_graf";#N/A,#N/A,TRUE,"test3_graf";#N/A,#N/A,TRUE,"test5_graf";#N/A,#N/A,TRUE,"test6_graf";#N/A,#N/A,TRUE,"test8_graf";#N/A,#N/A,TRUE,"test11_graf";#N/A,#N/A,TRUE,"test10_graf";#N/A,#N/A,TRUE,"test9_graf"}</definedName>
    <definedName name="lsdkfk" hidden="1">{#N/A,#N/A,TRUE,"test_graf";#N/A,#N/A,TRUE,"test1_graf";#N/A,#N/A,TRUE,"test7_graf";#N/A,#N/A,TRUE,"test3_graf";#N/A,#N/A,TRUE,"test5_graf";#N/A,#N/A,TRUE,"test6_graf";#N/A,#N/A,TRUE,"test8_graf";#N/A,#N/A,TRUE,"test11_graf";#N/A,#N/A,TRUE,"test10_graf";#N/A,#N/A,TRUE,"test9_graf"}</definedName>
    <definedName name="Mobiel_Belprofiel_InCase_GZM" localSheetId="0">'[2]Start GZM'!$F$14</definedName>
    <definedName name="Mobiel_Belprofiel_InCase_GZM">'[3]Start GZM'!$F$14</definedName>
    <definedName name="Mobiel_Belprofiel_InCase_MKB" localSheetId="0">'[2]Start MKB'!$F$14</definedName>
    <definedName name="Mobiel_Belprofiel_InCase_MKB">'[3]Start MKB'!$F$14</definedName>
    <definedName name="MoGebruikers_CurrentSegment" localSheetId="0">[2]Beheer!$E$19</definedName>
    <definedName name="MoGebruikers_CurrentSegment">[3]Beheer!$E$19</definedName>
    <definedName name="MoGebruikersGZM" localSheetId="0">[2]Beheer!$D$19</definedName>
    <definedName name="MoGebruikersGZM">[3]Beheer!$D$19</definedName>
    <definedName name="MoGebruikersMKB" localSheetId="0">[2]Beheer!$C$19</definedName>
    <definedName name="MoGebruikersMKB">[3]Beheer!$C$19</definedName>
    <definedName name="naamconflict" localSheetId="5" hidden="1">#REF!</definedName>
    <definedName name="naamconflict" localSheetId="6" hidden="1">#REF!</definedName>
    <definedName name="naamconflict" localSheetId="0" hidden="1">#REF!</definedName>
    <definedName name="naamconflict" hidden="1">#REF!</definedName>
    <definedName name="nationaal" localSheetId="0" hidden="1">{#N/A,"Hoge Q Gelijke P",FALSE,"Tarieven"}</definedName>
    <definedName name="nationaal" hidden="1">{#N/A,"Hoge Q Gelijke P",FALSE,"Tarieven"}</definedName>
    <definedName name="ND5LooptijdGZM" localSheetId="0">[2]Beheer!$D$14</definedName>
    <definedName name="ND5LooptijdGZM">[3]Beheer!$D$14</definedName>
    <definedName name="ND5LooptijdMKB" localSheetId="0">[2]Beheer!$C$14</definedName>
    <definedName name="ND5LooptijdMKB">[3]Beheer!$C$14</definedName>
    <definedName name="nieuw" localSheetId="0" hidden="1">{#N/A,"Hoge Q Lage P",FALSE,"Tarieven"}</definedName>
    <definedName name="nieuw" hidden="1">{#N/A,"Hoge Q Lage P",FALSE,"Tarieven"}</definedName>
    <definedName name="Onzin" localSheetId="0" hidden="1">{#N/A,"Hoge Q Lage P",FALSE,"Tarieven"}</definedName>
    <definedName name="Onzin" hidden="1">{#N/A,"Hoge Q Lage P",FALSE,"Tarieven"}</definedName>
    <definedName name="oooo" localSheetId="0" hidden="1">{#N/A,"Hoge Q Lage P",FALSE,"Tarieven"}</definedName>
    <definedName name="oooo" hidden="1">{#N/A,"Hoge Q Lage P",FALSE,"Tarieven"}</definedName>
    <definedName name="oooo1" localSheetId="0" hidden="1">{#N/A,"Hoge Q Lage P",FALSE,"Tarieven"}</definedName>
    <definedName name="oooo1" hidden="1">{#N/A,"Hoge Q Lage P",FALSE,"Tarieven"}</definedName>
    <definedName name="OPTA_1">#REF!</definedName>
    <definedName name="OPTA_2" localSheetId="0">#REF!</definedName>
    <definedName name="OPTA_2">#REF!</definedName>
    <definedName name="PD_Randapparatuur_Cisco" localSheetId="0">[2]PullDown!$BN$3:$BN$11</definedName>
    <definedName name="PD_Randapparatuur_Cisco">[3]PullDown!$BN$3:$BN$11</definedName>
    <definedName name="PD_Randapparatuur_IP_Centrex" localSheetId="0">[2]PullDown!$BL$3:$BL$21</definedName>
    <definedName name="PD_Randapparatuur_IP_Centrex">[3]PullDown!$BL$3:$BL$21</definedName>
    <definedName name="PD_Randapparatuur_Microsoft" localSheetId="0">[2]PullDown!$BP$3:$BP$69</definedName>
    <definedName name="PD_Randapparatuur_Microsoft">[3]PullDown!$BP$3:$BP$69</definedName>
    <definedName name="PullDown_GlasAccess" localSheetId="0">[2]PullDown!$AI$9:INDIRECT("PullDown!$AI$"&amp;[2]PullDown!$AI$6+8)</definedName>
    <definedName name="PullDown_GlasAccess">[3]PullDown!$AI$9:INDIRECT("PullDown!$AI$"&amp;[3]PullDown!$AI$6+8)</definedName>
    <definedName name="PullDown_GlasVPN" localSheetId="0">[2]PullDown!$AJ$9:INDIRECT("PullDown!$AJ$"&amp;[2]PullDown!$AJ$6+8)</definedName>
    <definedName name="PullDown_GlasVPN">[3]PullDown!$AJ$9:INDIRECT("PullDown!$AJ$"&amp;[3]PullDown!$AJ$6+8)</definedName>
    <definedName name="PullDown_VlanFiber" localSheetId="0">[2]PullDown!$AL$4:INDIRECT("PullDown!$AL$"&amp;[2]PullDown!$AL$2+3)</definedName>
    <definedName name="PullDown_VlanFiber">[3]PullDown!$AL$4:INDIRECT("PullDown!$AL$"&amp;[3]PullDown!$AL$2+3)</definedName>
    <definedName name="qwe" localSheetId="0" hidden="1">{#N/A,"Hoge Q Lage P",FALSE,"Tarieven"}</definedName>
    <definedName name="qwe" hidden="1">{#N/A,"Hoge Q Lage P",FALSE,"Tarieven"}</definedName>
    <definedName name="Release">#REF!</definedName>
    <definedName name="Retail_Revenue_EX_BTW" localSheetId="0">#REF!</definedName>
    <definedName name="Retail_Revenue_EX_BTW">#REF!</definedName>
    <definedName name="Retail_Revenue_INCL_BTW" localSheetId="0">#REF!</definedName>
    <definedName name="Retail_Revenue_INCL_BTW">#REF!</definedName>
    <definedName name="Retailopslag">[1]Parameters!$B$2</definedName>
    <definedName name="s" localSheetId="0" hidden="1">{#N/A,"Hoge Q Gelijke P",FALSE,"Tarieven"}</definedName>
    <definedName name="s" hidden="1">{#N/A,"Hoge Q Gelijke P",FALSE,"Tarieven"}</definedName>
    <definedName name="SpraakPull" localSheetId="0">[2]PullDown!$J$4:$T$4</definedName>
    <definedName name="SpraakPull">[3]PullDown!$J$4:$T$4</definedName>
    <definedName name="Start_LoopTijdContractGZM" localSheetId="0">'[2]Start GZM'!$C$14</definedName>
    <definedName name="Start_LoopTijdContractGZM">'[3]Start GZM'!$C$14</definedName>
    <definedName name="Start_LoopTijdContractMKB" localSheetId="0">'[2]Start MKB'!$C$14</definedName>
    <definedName name="Start_LoopTijdContractMKB">'[3]Start MKB'!$C$14</definedName>
    <definedName name="StartdatumGZM" localSheetId="0">'[2]Start GZM'!$C$13</definedName>
    <definedName name="StartdatumGZM">'[3]Start GZM'!$C$13</definedName>
    <definedName name="StartdatumMKB" localSheetId="0">'[2]Start MKB'!$C$13</definedName>
    <definedName name="StartdatumMKB">'[3]Start MKB'!$C$13</definedName>
    <definedName name="Tacsversie01" localSheetId="0">#REF!</definedName>
    <definedName name="Tacsversie01">#REF!</definedName>
    <definedName name="Tacsversie01_1" localSheetId="0">#REF!</definedName>
    <definedName name="Tacsversie01_1">#REF!</definedName>
    <definedName name="TariefPeriode01" localSheetId="0">#REF!</definedName>
    <definedName name="TariefPeriode01">#REF!</definedName>
    <definedName name="test" localSheetId="0" hidden="1">{#N/A,"Hoge Q Lage P",FALSE,"Tarieven"}</definedName>
    <definedName name="test" hidden="1">{#N/A,"Hoge Q Lage P",FALSE,"Tarieven"}</definedName>
    <definedName name="test2" localSheetId="0" hidden="1">{#N/A,"Hoge Q Lage P",FALSE,"Tarieven"}</definedName>
    <definedName name="test2" hidden="1">{#N/A,"Hoge Q Lage P",FALSE,"Tarieven"}</definedName>
    <definedName name="ToeslagTelefooncel_Eur">#REF!</definedName>
    <definedName name="Transit_Handling_Setup_Conv" localSheetId="0">#REF!</definedName>
    <definedName name="Transit_Handling_Setup_Conv">#REF!</definedName>
    <definedName name="Transit_Handling_Setup_Only" localSheetId="0">#REF!</definedName>
    <definedName name="Transit_Handling_Setup_Only">#REF!</definedName>
    <definedName name="Transit_Handling89_Setup_Conv" localSheetId="0">#REF!</definedName>
    <definedName name="Transit_Handling89_Setup_Conv">#REF!</definedName>
    <definedName name="Transit_Handling89_Setup_Only" localSheetId="0">#REF!</definedName>
    <definedName name="Transit_Handling89_Setup_Only">#REF!</definedName>
    <definedName name="ts" localSheetId="0" hidden="1">{#N/A,"Hoge Q Gelijke P",FALSE,"Tarieven"}</definedName>
    <definedName name="ts" hidden="1">{#N/A,"Hoge Q Gelijke P",FALSE,"Tarieven"}</definedName>
    <definedName name="uiteo1" localSheetId="0" hidden="1">{#N/A,"Hoge Q Lage P",FALSE,"Tarieven"}</definedName>
    <definedName name="uiteo1" hidden="1">{#N/A,"Hoge Q Lage P",FALSE,"Tarieven"}</definedName>
    <definedName name="uitheo" localSheetId="0" hidden="1">{#N/A,"Hoge Q Lage P",FALSE,"Tarieven"}</definedName>
    <definedName name="uitheo" hidden="1">{#N/A,"Hoge Q Lage P",FALSE,"Tarieven"}</definedName>
    <definedName name="VaMo_Koppeling_GZM" localSheetId="0">[2]Beheer!$D$6</definedName>
    <definedName name="VaMo_Koppeling_GZM">[3]Beheer!$D$6</definedName>
    <definedName name="VaMo_Koppeling_MKB" localSheetId="0">[2]Beheer!$C$6</definedName>
    <definedName name="VaMo_Koppeling_MKB">[3]Beheer!$C$6</definedName>
    <definedName name="Wholesalebilling_Eur" localSheetId="0">#REF!</definedName>
    <definedName name="Wholesalebilling_Eur">#REF!</definedName>
    <definedName name="wrn.Q._.met._.dalend._.P." localSheetId="0" hidden="1">{#N/A,"Hoge Q Lage P",FALSE,"Tarieven"}</definedName>
    <definedName name="wrn.Q._.met._.dalend._.P." hidden="1">{#N/A,"Hoge Q Lage P",FALSE,"Tarieven"}</definedName>
    <definedName name="wrn.Q._.met._.gelijke._.P." localSheetId="0" hidden="1">{#N/A,"Hoge Q Gelijke P",FALSE,"Tarieven"}</definedName>
    <definedName name="wrn.Q._.met._.gelijke._.P." hidden="1">{#N/A,"Hoge Q Gelijke P",FALSE,"Tarieven"}</definedName>
    <definedName name="wrn.q._.met.dalen.p1" localSheetId="0" hidden="1">{#N/A,"Hoge Q Lage P",FALSE,"Tarieven"}</definedName>
    <definedName name="wrn.q._.met.dalen.p1" hidden="1">{#N/A,"Hoge Q Lage P",FALSE,"Tarieven"}</definedName>
    <definedName name="wrn.q.met.gelijke.p1" localSheetId="0" hidden="1">{#N/A,"Hoge Q Gelijke P",FALSE,"Tarieven"}</definedName>
    <definedName name="wrn.q.met.gelijke.p1" hidden="1">{#N/A,"Hoge Q Gelijke P",FALSE,"Tarieven"}</definedName>
    <definedName name="wrn.Week._.rapportage." localSheetId="0" hidden="1">{#N/A,#N/A,TRUE,"test_graf";#N/A,#N/A,TRUE,"test1_graf";#N/A,#N/A,TRUE,"test7_graf";#N/A,#N/A,TRUE,"test3_graf";#N/A,#N/A,TRUE,"test5_graf";#N/A,#N/A,TRUE,"test6_graf";#N/A,#N/A,TRUE,"test8_graf";#N/A,#N/A,TRUE,"test11_graf";#N/A,#N/A,TRUE,"test10_graf";#N/A,#N/A,TRUE,"test9_graf"}</definedName>
    <definedName name="wrn.Week._.rapportage." hidden="1">{#N/A,#N/A,TRUE,"test_graf";#N/A,#N/A,TRUE,"test1_graf";#N/A,#N/A,TRUE,"test7_graf";#N/A,#N/A,TRUE,"test3_graf";#N/A,#N/A,TRUE,"test5_graf";#N/A,#N/A,TRUE,"test6_graf";#N/A,#N/A,TRUE,"test8_graf";#N/A,#N/A,TRUE,"test11_graf";#N/A,#N/A,TRUE,"test10_graf";#N/A,#N/A,TRUE,"test9_graf"}</definedName>
    <definedName name="xx" localSheetId="0" hidden="1">{#N/A,"Hoge Q Lage P",FALSE,"Tarieven"}</definedName>
    <definedName name="xx" hidden="1">{#N/A,"Hoge Q Lage P",FALSE,"Tarieven"}</definedName>
    <definedName name="ZMSalesMandaatVVA">[1]Parameters!$B$20</definedName>
    <definedName name="ZMSalesMandaatVVE">[1]Parameters!$B$19</definedName>
  </definedNames>
  <calcPr calcId="145621"/>
</workbook>
</file>

<file path=xl/calcChain.xml><?xml version="1.0" encoding="utf-8"?>
<calcChain xmlns="http://schemas.openxmlformats.org/spreadsheetml/2006/main">
  <c r="Q11" i="16" l="1"/>
  <c r="U11" i="16" s="1"/>
  <c r="L11" i="16"/>
  <c r="K11" i="16"/>
  <c r="P11" i="16" s="1"/>
  <c r="B11" i="16"/>
  <c r="A11" i="16"/>
  <c r="L10" i="16"/>
  <c r="Q10" i="16" s="1"/>
  <c r="K10" i="16"/>
  <c r="P10" i="16" s="1"/>
  <c r="B10" i="16"/>
  <c r="A10" i="16"/>
  <c r="L9" i="16"/>
  <c r="Q9" i="16" s="1"/>
  <c r="U9" i="16" s="1"/>
  <c r="K9" i="16"/>
  <c r="P9" i="16" s="1"/>
  <c r="B9" i="16"/>
  <c r="A9" i="16"/>
  <c r="L8" i="16"/>
  <c r="Q8" i="16" s="1"/>
  <c r="K8" i="16"/>
  <c r="P8" i="16" s="1"/>
  <c r="B8" i="16"/>
  <c r="A8" i="16"/>
  <c r="T8" i="16" l="1"/>
  <c r="W8" i="16" s="1"/>
  <c r="Y8" i="16"/>
  <c r="AB8" i="16" s="1"/>
  <c r="T9" i="16"/>
  <c r="W9" i="16" s="1"/>
  <c r="Y9" i="16"/>
  <c r="Y11" i="16"/>
  <c r="T11" i="16"/>
  <c r="W11" i="16" s="1"/>
  <c r="Z8" i="16"/>
  <c r="U8" i="16"/>
  <c r="Z10" i="16"/>
  <c r="U10" i="16"/>
  <c r="T10" i="16"/>
  <c r="Y10" i="16"/>
  <c r="Z9" i="16"/>
  <c r="Z11" i="16"/>
  <c r="K4" i="16"/>
  <c r="L4" i="16"/>
  <c r="K5" i="16"/>
  <c r="L5" i="16"/>
  <c r="K6" i="16"/>
  <c r="L6" i="16"/>
  <c r="K7" i="16"/>
  <c r="L7" i="16"/>
  <c r="A4" i="16"/>
  <c r="B4" i="16"/>
  <c r="A5" i="16"/>
  <c r="B5" i="16"/>
  <c r="A6" i="16"/>
  <c r="B6" i="16"/>
  <c r="A7" i="16"/>
  <c r="B7" i="16"/>
  <c r="AM5" i="18"/>
  <c r="B57" i="3"/>
  <c r="T4" i="15" s="1"/>
  <c r="B58" i="3"/>
  <c r="B59" i="3"/>
  <c r="B60" i="3"/>
  <c r="B61" i="3"/>
  <c r="B62" i="3"/>
  <c r="B63" i="3"/>
  <c r="B64" i="3"/>
  <c r="B65" i="3"/>
  <c r="B66" i="3"/>
  <c r="B67" i="3"/>
  <c r="B68" i="3"/>
  <c r="B69" i="3"/>
  <c r="B70" i="3"/>
  <c r="B71" i="3"/>
  <c r="B72" i="3"/>
  <c r="H8" i="15"/>
  <c r="H4" i="15"/>
  <c r="K4" i="15" s="1"/>
  <c r="AH4" i="15" s="1"/>
  <c r="I4" i="15"/>
  <c r="Y4" i="15" s="1"/>
  <c r="H5" i="15"/>
  <c r="L5" i="15" s="1"/>
  <c r="I5" i="15"/>
  <c r="AA5" i="15" s="1"/>
  <c r="H6" i="15"/>
  <c r="I6" i="15"/>
  <c r="AA6" i="15" s="1"/>
  <c r="H7" i="15"/>
  <c r="M7" i="15" s="1"/>
  <c r="I7" i="15"/>
  <c r="AA7" i="15" s="1"/>
  <c r="J4" i="15"/>
  <c r="L4" i="15"/>
  <c r="M4" i="15"/>
  <c r="AI4" i="15" s="1"/>
  <c r="N4" i="15"/>
  <c r="P4" i="15"/>
  <c r="Q4" i="15"/>
  <c r="AK4" i="15" s="1"/>
  <c r="R4" i="15"/>
  <c r="AA4" i="15"/>
  <c r="AB4" i="15"/>
  <c r="O5" i="15"/>
  <c r="J6" i="15"/>
  <c r="K6" i="15"/>
  <c r="L6" i="15"/>
  <c r="M6" i="15"/>
  <c r="AI6" i="15" s="1"/>
  <c r="N6" i="15"/>
  <c r="O6" i="15"/>
  <c r="P6" i="15"/>
  <c r="Q6" i="15"/>
  <c r="AK6" i="15" s="1"/>
  <c r="R6" i="15"/>
  <c r="S6" i="15"/>
  <c r="Y6" i="15"/>
  <c r="Z6" i="15"/>
  <c r="AB6" i="15"/>
  <c r="AH6" i="15"/>
  <c r="L7" i="15"/>
  <c r="R7" i="15"/>
  <c r="Z7" i="15"/>
  <c r="A4" i="15"/>
  <c r="Q4" i="16" s="1"/>
  <c r="A5" i="15"/>
  <c r="A6" i="15"/>
  <c r="A7" i="15"/>
  <c r="A4" i="14"/>
  <c r="P4" i="16" s="1"/>
  <c r="B4" i="14"/>
  <c r="A5" i="14"/>
  <c r="P6" i="16" s="1"/>
  <c r="B5" i="14"/>
  <c r="A6" i="14"/>
  <c r="B6" i="14"/>
  <c r="A7" i="14"/>
  <c r="B7" i="14"/>
  <c r="A8" i="14"/>
  <c r="B8" i="14"/>
  <c r="A9" i="14"/>
  <c r="B9" i="14"/>
  <c r="A10" i="14"/>
  <c r="B10" i="14"/>
  <c r="A11" i="14"/>
  <c r="B11" i="14"/>
  <c r="A12" i="14"/>
  <c r="B12" i="14"/>
  <c r="A13" i="14"/>
  <c r="B13" i="14"/>
  <c r="A14" i="14"/>
  <c r="B14" i="14"/>
  <c r="A15" i="14"/>
  <c r="B15" i="14"/>
  <c r="A16" i="14"/>
  <c r="B16" i="14"/>
  <c r="A17" i="14"/>
  <c r="B17" i="14"/>
  <c r="A18" i="14"/>
  <c r="B18" i="14"/>
  <c r="A19" i="14"/>
  <c r="B19" i="14"/>
  <c r="A20" i="14"/>
  <c r="B20" i="14"/>
  <c r="A21" i="14"/>
  <c r="B21" i="14"/>
  <c r="H4" i="14"/>
  <c r="I4" i="14"/>
  <c r="K4" i="14" s="1"/>
  <c r="J4" i="14"/>
  <c r="L4" i="14"/>
  <c r="M4" i="14" s="1"/>
  <c r="T4" i="14"/>
  <c r="H5" i="14"/>
  <c r="J5" i="14" s="1"/>
  <c r="I5" i="14"/>
  <c r="K5" i="14"/>
  <c r="Q5" i="14" s="1"/>
  <c r="L5" i="14"/>
  <c r="T5" i="14"/>
  <c r="H6" i="14"/>
  <c r="J6" i="14" s="1"/>
  <c r="I6" i="14"/>
  <c r="K6" i="14" s="1"/>
  <c r="Q6" i="14" s="1"/>
  <c r="L6" i="14"/>
  <c r="N6" i="14" s="1"/>
  <c r="T6" i="14"/>
  <c r="H7" i="14"/>
  <c r="I7" i="14"/>
  <c r="K7" i="14" s="1"/>
  <c r="P7" i="14" s="1"/>
  <c r="J7" i="14"/>
  <c r="L7" i="14"/>
  <c r="M7" i="14" s="1"/>
  <c r="U7" i="14" s="1"/>
  <c r="T7" i="14"/>
  <c r="H8" i="14"/>
  <c r="J8" i="14" s="1"/>
  <c r="I8" i="14"/>
  <c r="K8" i="14" s="1"/>
  <c r="L8" i="14"/>
  <c r="M8" i="14" s="1"/>
  <c r="T8" i="14"/>
  <c r="H9" i="14"/>
  <c r="J9" i="14" s="1"/>
  <c r="I9" i="14"/>
  <c r="K9" i="14"/>
  <c r="Q9" i="14" s="1"/>
  <c r="L9" i="14"/>
  <c r="T9" i="14"/>
  <c r="H10" i="14"/>
  <c r="J10" i="14" s="1"/>
  <c r="I10" i="14"/>
  <c r="K10" i="14" s="1"/>
  <c r="P10" i="14" s="1"/>
  <c r="L10" i="14"/>
  <c r="N10" i="14" s="1"/>
  <c r="T10" i="14"/>
  <c r="H11" i="14"/>
  <c r="J11" i="14" s="1"/>
  <c r="I11" i="14"/>
  <c r="K11" i="14" s="1"/>
  <c r="P11" i="14" s="1"/>
  <c r="L11" i="14"/>
  <c r="N11" i="14" s="1"/>
  <c r="T11" i="14"/>
  <c r="H12" i="14"/>
  <c r="J12" i="14" s="1"/>
  <c r="I12" i="14"/>
  <c r="K12" i="14"/>
  <c r="L12" i="14"/>
  <c r="M12" i="14" s="1"/>
  <c r="T12" i="14"/>
  <c r="H13" i="14"/>
  <c r="J13" i="14" s="1"/>
  <c r="I13" i="14"/>
  <c r="K13" i="14" s="1"/>
  <c r="L13" i="14"/>
  <c r="T13" i="14"/>
  <c r="H14" i="14"/>
  <c r="J14" i="14" s="1"/>
  <c r="I14" i="14"/>
  <c r="K14" i="14" s="1"/>
  <c r="Q14" i="14" s="1"/>
  <c r="L14" i="14"/>
  <c r="N14" i="14" s="1"/>
  <c r="P14" i="14"/>
  <c r="T14" i="14"/>
  <c r="H15" i="14"/>
  <c r="I15" i="14"/>
  <c r="K15" i="14" s="1"/>
  <c r="J15" i="14"/>
  <c r="L15" i="14"/>
  <c r="M15" i="14" s="1"/>
  <c r="U15" i="14" s="1"/>
  <c r="T15" i="14"/>
  <c r="H16" i="14"/>
  <c r="J16" i="14" s="1"/>
  <c r="I16" i="14"/>
  <c r="K16" i="14" s="1"/>
  <c r="Q16" i="14" s="1"/>
  <c r="L16" i="14"/>
  <c r="T16" i="14"/>
  <c r="H17" i="14"/>
  <c r="J17" i="14" s="1"/>
  <c r="I17" i="14"/>
  <c r="K17" i="14" s="1"/>
  <c r="P17" i="14" s="1"/>
  <c r="L17" i="14"/>
  <c r="T17" i="14"/>
  <c r="H18" i="14"/>
  <c r="I18" i="14"/>
  <c r="K18" i="14" s="1"/>
  <c r="P18" i="14" s="1"/>
  <c r="J18" i="14"/>
  <c r="L18" i="14"/>
  <c r="Q18" i="14"/>
  <c r="T18" i="14"/>
  <c r="H19" i="14"/>
  <c r="J19" i="14" s="1"/>
  <c r="I19" i="14"/>
  <c r="K19" i="14" s="1"/>
  <c r="L19" i="14"/>
  <c r="N19" i="14" s="1"/>
  <c r="T19" i="14"/>
  <c r="H20" i="14"/>
  <c r="I20" i="14"/>
  <c r="K20" i="14" s="1"/>
  <c r="J20" i="14"/>
  <c r="L20" i="14"/>
  <c r="M20" i="14" s="1"/>
  <c r="T20" i="14"/>
  <c r="H21" i="14"/>
  <c r="J21" i="14" s="1"/>
  <c r="I21" i="14"/>
  <c r="K21" i="14"/>
  <c r="Q21" i="14" s="1"/>
  <c r="L21" i="14"/>
  <c r="P21" i="14"/>
  <c r="R21" i="14" s="1"/>
  <c r="T21" i="14"/>
  <c r="E5" i="10"/>
  <c r="B8" i="3"/>
  <c r="B9" i="3"/>
  <c r="B10" i="3"/>
  <c r="B11" i="3"/>
  <c r="B12" i="3"/>
  <c r="B13" i="3"/>
  <c r="B14" i="3"/>
  <c r="B15" i="3"/>
  <c r="B16" i="3"/>
  <c r="F18" i="39"/>
  <c r="F17" i="39"/>
  <c r="F3" i="39"/>
  <c r="R14" i="38"/>
  <c r="R15" i="38"/>
  <c r="R16" i="38"/>
  <c r="R13" i="38"/>
  <c r="R14" i="37"/>
  <c r="R15" i="37"/>
  <c r="R16" i="37"/>
  <c r="R13" i="37"/>
  <c r="R14" i="36"/>
  <c r="R15" i="36"/>
  <c r="R16" i="36"/>
  <c r="R13" i="36"/>
  <c r="AB10" i="16" l="1"/>
  <c r="AB9" i="16"/>
  <c r="W10" i="16"/>
  <c r="AD8" i="16"/>
  <c r="AC8" i="16"/>
  <c r="AB11" i="16"/>
  <c r="Q7" i="16"/>
  <c r="Q6" i="16"/>
  <c r="Q5" i="16"/>
  <c r="Z5" i="15"/>
  <c r="T6" i="15"/>
  <c r="Q13" i="14"/>
  <c r="P13" i="14"/>
  <c r="R13" i="14" s="1"/>
  <c r="M19" i="14"/>
  <c r="U19" i="14" s="1"/>
  <c r="N15" i="14"/>
  <c r="P9" i="14"/>
  <c r="R9" i="14" s="1"/>
  <c r="P7" i="16"/>
  <c r="P5" i="16"/>
  <c r="Q17" i="14"/>
  <c r="Q10" i="14"/>
  <c r="R10" i="14" s="1"/>
  <c r="P6" i="14"/>
  <c r="R6" i="14" s="1"/>
  <c r="R14" i="14"/>
  <c r="P5" i="14"/>
  <c r="R5" i="14" s="1"/>
  <c r="N7" i="14"/>
  <c r="M11" i="14"/>
  <c r="U11" i="14" s="1"/>
  <c r="M10" i="14"/>
  <c r="U10" i="14" s="1"/>
  <c r="N8" i="14"/>
  <c r="O8" i="14" s="1"/>
  <c r="S8" i="14" s="1"/>
  <c r="N20" i="14"/>
  <c r="O20" i="14" s="1"/>
  <c r="S20" i="14" s="1"/>
  <c r="M14" i="14"/>
  <c r="U14" i="14" s="1"/>
  <c r="N12" i="14"/>
  <c r="O12" i="14" s="1"/>
  <c r="S12" i="14" s="1"/>
  <c r="M6" i="14"/>
  <c r="U6" i="14" s="1"/>
  <c r="N4" i="14"/>
  <c r="O4" i="14" s="1"/>
  <c r="S4" i="14" s="1"/>
  <c r="U6" i="15"/>
  <c r="W6" i="15"/>
  <c r="AF6" i="15" s="1"/>
  <c r="N5" i="15"/>
  <c r="O7" i="15"/>
  <c r="J7" i="15"/>
  <c r="S5" i="15"/>
  <c r="K5" i="15"/>
  <c r="AH5" i="15" s="1"/>
  <c r="Z4" i="15"/>
  <c r="P7" i="15"/>
  <c r="K7" i="15"/>
  <c r="AH7" i="15" s="1"/>
  <c r="S7" i="15"/>
  <c r="N7" i="15"/>
  <c r="AD6" i="15"/>
  <c r="V6" i="15"/>
  <c r="AE6" i="15" s="1"/>
  <c r="R5" i="15"/>
  <c r="J5" i="15"/>
  <c r="AI7" i="15"/>
  <c r="U7" i="15"/>
  <c r="AD7" i="15" s="1"/>
  <c r="Y7" i="15"/>
  <c r="T7" i="15"/>
  <c r="AJ6" i="15"/>
  <c r="AL6" i="15" s="1"/>
  <c r="AC6" i="15"/>
  <c r="AG6" i="15" s="1"/>
  <c r="Y5" i="15"/>
  <c r="AJ5" i="15"/>
  <c r="U4" i="15"/>
  <c r="AD4" i="15" s="1"/>
  <c r="W4" i="15"/>
  <c r="AF4" i="15" s="1"/>
  <c r="AB7" i="15"/>
  <c r="Q7" i="15"/>
  <c r="AK7" i="15" s="1"/>
  <c r="AB5" i="15"/>
  <c r="Q5" i="15"/>
  <c r="AK5" i="15" s="1"/>
  <c r="M5" i="15"/>
  <c r="AI5" i="15" s="1"/>
  <c r="S4" i="15"/>
  <c r="O4" i="15"/>
  <c r="AJ7" i="15"/>
  <c r="P5" i="15"/>
  <c r="W5" i="15" s="1"/>
  <c r="AC4" i="15"/>
  <c r="O19" i="14"/>
  <c r="N17" i="14"/>
  <c r="M17" i="14"/>
  <c r="M21" i="14"/>
  <c r="N21" i="14"/>
  <c r="U20" i="14"/>
  <c r="R17" i="14"/>
  <c r="M16" i="14"/>
  <c r="N16" i="14"/>
  <c r="P20" i="14"/>
  <c r="Q20" i="14"/>
  <c r="R18" i="14"/>
  <c r="Q19" i="14"/>
  <c r="P19" i="14"/>
  <c r="M18" i="14"/>
  <c r="N18" i="14"/>
  <c r="P15" i="14"/>
  <c r="Q15" i="14"/>
  <c r="O14" i="14"/>
  <c r="P12" i="14"/>
  <c r="Q12" i="14"/>
  <c r="P4" i="14"/>
  <c r="Q4" i="14"/>
  <c r="O11" i="14"/>
  <c r="O7" i="14"/>
  <c r="T6" i="16" s="1"/>
  <c r="M13" i="14"/>
  <c r="N13" i="14"/>
  <c r="M9" i="14"/>
  <c r="N9" i="14"/>
  <c r="M5" i="14"/>
  <c r="N5" i="14"/>
  <c r="P8" i="14"/>
  <c r="Q8" i="14"/>
  <c r="P16" i="14"/>
  <c r="R16" i="14" s="1"/>
  <c r="O15" i="14"/>
  <c r="U12" i="14"/>
  <c r="Q11" i="14"/>
  <c r="R11" i="14" s="1"/>
  <c r="U8" i="14"/>
  <c r="Q7" i="14"/>
  <c r="R7" i="14" s="1"/>
  <c r="U4" i="14"/>
  <c r="U6" i="16" l="1"/>
  <c r="AD10" i="16"/>
  <c r="AC10" i="16"/>
  <c r="AC11" i="16"/>
  <c r="AD11" i="16"/>
  <c r="AC9" i="16"/>
  <c r="AD9" i="16"/>
  <c r="V4" i="15"/>
  <c r="AE4" i="15" s="1"/>
  <c r="AG4" i="15" s="1"/>
  <c r="AM4" i="15" s="1"/>
  <c r="V7" i="15"/>
  <c r="AE7" i="15" s="1"/>
  <c r="V5" i="15"/>
  <c r="AE5" i="15" s="1"/>
  <c r="W6" i="16"/>
  <c r="R20" i="14"/>
  <c r="T5" i="16"/>
  <c r="R19" i="14"/>
  <c r="O6" i="14"/>
  <c r="O10" i="14"/>
  <c r="T7" i="16" s="1"/>
  <c r="V4" i="14"/>
  <c r="V12" i="14"/>
  <c r="V8" i="14"/>
  <c r="V20" i="14"/>
  <c r="W20" i="14" s="1"/>
  <c r="X20" i="14" s="1"/>
  <c r="Y20" i="14" s="1"/>
  <c r="Z20" i="14" s="1"/>
  <c r="AC7" i="15"/>
  <c r="AL5" i="15"/>
  <c r="U5" i="15"/>
  <c r="AD5" i="15" s="1"/>
  <c r="AL7" i="15"/>
  <c r="AJ4" i="15"/>
  <c r="AL4" i="15" s="1"/>
  <c r="T5" i="15"/>
  <c r="AF5" i="15"/>
  <c r="W7" i="15"/>
  <c r="AF7" i="15" s="1"/>
  <c r="X6" i="15"/>
  <c r="AM6" i="15"/>
  <c r="AN6" i="15"/>
  <c r="U21" i="14"/>
  <c r="O21" i="14"/>
  <c r="R8" i="14"/>
  <c r="R4" i="14"/>
  <c r="R12" i="14"/>
  <c r="R15" i="14"/>
  <c r="S19" i="14"/>
  <c r="V19" i="14" s="1"/>
  <c r="S15" i="14"/>
  <c r="V15" i="14" s="1"/>
  <c r="S7" i="14"/>
  <c r="V7" i="14" s="1"/>
  <c r="W7" i="14" s="1"/>
  <c r="X7" i="14" s="1"/>
  <c r="S11" i="14"/>
  <c r="V11" i="14" s="1"/>
  <c r="W11" i="14" s="1"/>
  <c r="X11" i="14" s="1"/>
  <c r="Y11" i="14" s="1"/>
  <c r="Z11" i="14" s="1"/>
  <c r="U16" i="14"/>
  <c r="O16" i="14"/>
  <c r="U5" i="14"/>
  <c r="O5" i="14"/>
  <c r="U13" i="14"/>
  <c r="O13" i="14"/>
  <c r="S10" i="14"/>
  <c r="V10" i="14" s="1"/>
  <c r="W10" i="14" s="1"/>
  <c r="X10" i="14" s="1"/>
  <c r="Y10" i="14" s="1"/>
  <c r="Z10" i="14" s="1"/>
  <c r="U9" i="14"/>
  <c r="O9" i="14"/>
  <c r="S6" i="14"/>
  <c r="V6" i="14" s="1"/>
  <c r="W6" i="14" s="1"/>
  <c r="X6" i="14" s="1"/>
  <c r="Y6" i="14" s="1"/>
  <c r="Z6" i="14" s="1"/>
  <c r="S14" i="14"/>
  <c r="V14" i="14" s="1"/>
  <c r="W14" i="14" s="1"/>
  <c r="X14" i="14" s="1"/>
  <c r="Y14" i="14" s="1"/>
  <c r="Z14" i="14" s="1"/>
  <c r="O18" i="14"/>
  <c r="U18" i="14"/>
  <c r="U17" i="14"/>
  <c r="O17" i="14"/>
  <c r="W4" i="14" l="1"/>
  <c r="X4" i="14" s="1"/>
  <c r="Y4" i="14" s="1"/>
  <c r="Z4" i="14" s="1"/>
  <c r="X4" i="15"/>
  <c r="AN4" i="15"/>
  <c r="AP4" i="15" s="1"/>
  <c r="AQ4" i="15" s="1"/>
  <c r="AR4" i="15" s="1"/>
  <c r="U4" i="16"/>
  <c r="Y7" i="14"/>
  <c r="Z7" i="14" s="1"/>
  <c r="Y6" i="16"/>
  <c r="W12" i="14"/>
  <c r="X12" i="14" s="1"/>
  <c r="Y12" i="14" s="1"/>
  <c r="Z12" i="14" s="1"/>
  <c r="Y7" i="16"/>
  <c r="W19" i="14"/>
  <c r="X19" i="14" s="1"/>
  <c r="Y19" i="14" s="1"/>
  <c r="Z19" i="14" s="1"/>
  <c r="AP6" i="15"/>
  <c r="AQ6" i="15" s="1"/>
  <c r="AR6" i="15" s="1"/>
  <c r="W8" i="14"/>
  <c r="X8" i="14" s="1"/>
  <c r="Y8" i="14" s="1"/>
  <c r="Z8" i="14" s="1"/>
  <c r="X7" i="15"/>
  <c r="AG7" i="15"/>
  <c r="U7" i="16" s="1"/>
  <c r="W7" i="16" s="1"/>
  <c r="W15" i="14"/>
  <c r="X15" i="14" s="1"/>
  <c r="Y15" i="14" s="1"/>
  <c r="Z15" i="14" s="1"/>
  <c r="AC5" i="15"/>
  <c r="AG5" i="15" s="1"/>
  <c r="U5" i="16" s="1"/>
  <c r="W5" i="16" s="1"/>
  <c r="X5" i="15"/>
  <c r="S18" i="14"/>
  <c r="V18" i="14" s="1"/>
  <c r="W18" i="14" s="1"/>
  <c r="X18" i="14" s="1"/>
  <c r="Y18" i="14" s="1"/>
  <c r="Z18" i="14" s="1"/>
  <c r="S16" i="14"/>
  <c r="V16" i="14" s="1"/>
  <c r="W16" i="14" s="1"/>
  <c r="X16" i="14" s="1"/>
  <c r="Y16" i="14" s="1"/>
  <c r="Z16" i="14" s="1"/>
  <c r="S9" i="14"/>
  <c r="V9" i="14" s="1"/>
  <c r="W9" i="14" s="1"/>
  <c r="X9" i="14" s="1"/>
  <c r="Y9" i="14" s="1"/>
  <c r="Z9" i="14" s="1"/>
  <c r="S17" i="14"/>
  <c r="V17" i="14" s="1"/>
  <c r="W17" i="14" s="1"/>
  <c r="X17" i="14" s="1"/>
  <c r="Y17" i="14" s="1"/>
  <c r="Z17" i="14" s="1"/>
  <c r="S21" i="14"/>
  <c r="V21" i="14" s="1"/>
  <c r="W21" i="14" s="1"/>
  <c r="X21" i="14" s="1"/>
  <c r="Y21" i="14" s="1"/>
  <c r="Z21" i="14" s="1"/>
  <c r="S5" i="14"/>
  <c r="V5" i="14" s="1"/>
  <c r="W5" i="14" s="1"/>
  <c r="X5" i="14" s="1"/>
  <c r="Y5" i="14" s="1"/>
  <c r="Z5" i="14" s="1"/>
  <c r="S13" i="14"/>
  <c r="V13" i="14" s="1"/>
  <c r="W13" i="14" s="1"/>
  <c r="X13" i="14" s="1"/>
  <c r="Y13" i="14" s="1"/>
  <c r="Z13" i="14" s="1"/>
  <c r="Y5" i="16" l="1"/>
  <c r="AS4" i="15"/>
  <c r="Z4" i="16"/>
  <c r="AS6" i="15"/>
  <c r="Z6" i="16"/>
  <c r="AB6" i="16" s="1"/>
  <c r="AD6" i="16" s="1"/>
  <c r="AT6" i="15"/>
  <c r="AN7" i="15"/>
  <c r="AM7" i="15"/>
  <c r="AT4" i="15"/>
  <c r="AN5" i="15"/>
  <c r="AM5" i="15"/>
  <c r="AC6" i="16" l="1"/>
  <c r="AP5" i="15"/>
  <c r="AQ5" i="15" s="1"/>
  <c r="AR5" i="15" s="1"/>
  <c r="Z5" i="16" s="1"/>
  <c r="AB5" i="16" s="1"/>
  <c r="AP7" i="15"/>
  <c r="AQ7" i="15" s="1"/>
  <c r="AR7" i="15" s="1"/>
  <c r="Z7" i="16" s="1"/>
  <c r="AB7" i="16" s="1"/>
  <c r="AS5" i="15" l="1"/>
  <c r="AC5" i="16"/>
  <c r="AD5" i="16"/>
  <c r="AT5" i="15"/>
  <c r="AD7" i="16"/>
  <c r="AC7" i="16"/>
  <c r="AS7" i="15"/>
  <c r="AT7" i="15"/>
  <c r="Q60" i="14" l="1"/>
  <c r="Q61" i="14"/>
  <c r="E17" i="39"/>
  <c r="E18" i="39"/>
  <c r="E19" i="39"/>
  <c r="F14" i="39"/>
  <c r="F15" i="39"/>
  <c r="F16" i="39"/>
  <c r="F13" i="39"/>
  <c r="E13" i="39"/>
  <c r="F12" i="39"/>
  <c r="F11" i="39"/>
  <c r="E11" i="39"/>
  <c r="F10" i="39"/>
  <c r="E10" i="39"/>
  <c r="F9" i="39"/>
  <c r="F7" i="39"/>
  <c r="F8" i="39"/>
  <c r="F6" i="39"/>
  <c r="E6" i="39"/>
  <c r="F5" i="39"/>
  <c r="E5" i="39"/>
  <c r="F4" i="39"/>
  <c r="E4" i="39"/>
  <c r="E3" i="39"/>
  <c r="Q14" i="38"/>
  <c r="Q15" i="38"/>
  <c r="Q16" i="38"/>
  <c r="Q13" i="38"/>
  <c r="Q16" i="37"/>
  <c r="Q15" i="37"/>
  <c r="Q14" i="37"/>
  <c r="Q13" i="37"/>
  <c r="Q14" i="36"/>
  <c r="Q15" i="36"/>
  <c r="Q16" i="36"/>
  <c r="Q13" i="36"/>
  <c r="F19" i="39" l="1"/>
  <c r="A78" i="14"/>
  <c r="P44" i="16"/>
  <c r="B78" i="14"/>
  <c r="H78" i="14"/>
  <c r="I78" i="14"/>
  <c r="J78" i="14"/>
  <c r="K78" i="14"/>
  <c r="Q78" i="14" s="1"/>
  <c r="E34" i="34"/>
  <c r="E35" i="34"/>
  <c r="E36" i="34"/>
  <c r="E38" i="34"/>
  <c r="E39" i="34"/>
  <c r="C2" i="40" l="1"/>
  <c r="T22" i="14" l="1"/>
  <c r="B37" i="3" l="1"/>
  <c r="H29" i="15" l="1"/>
  <c r="K29" i="15" s="1"/>
  <c r="I29" i="15"/>
  <c r="A29" i="15"/>
  <c r="K28" i="16"/>
  <c r="L28" i="16"/>
  <c r="M28" i="16"/>
  <c r="K29" i="16"/>
  <c r="L29" i="16"/>
  <c r="M29" i="16"/>
  <c r="A28" i="16"/>
  <c r="B28" i="16"/>
  <c r="AN28" i="16" s="1"/>
  <c r="A29" i="16"/>
  <c r="B29" i="16"/>
  <c r="AN29" i="16" s="1"/>
  <c r="K14" i="16"/>
  <c r="L14" i="16"/>
  <c r="M14" i="16"/>
  <c r="K15" i="16"/>
  <c r="L15" i="16"/>
  <c r="M15" i="16"/>
  <c r="A14" i="16"/>
  <c r="B14" i="16"/>
  <c r="AN14" i="16" s="1"/>
  <c r="A15" i="16"/>
  <c r="B15" i="16"/>
  <c r="AN15" i="16" s="1"/>
  <c r="O8" i="15"/>
  <c r="I8" i="15"/>
  <c r="A8" i="15"/>
  <c r="R29" i="15" l="1"/>
  <c r="M29" i="15"/>
  <c r="L29" i="15"/>
  <c r="Q29" i="15"/>
  <c r="J29" i="15"/>
  <c r="P29" i="15"/>
  <c r="N29" i="15"/>
  <c r="M8" i="15"/>
  <c r="K8" i="15"/>
  <c r="P8" i="15"/>
  <c r="S8" i="15"/>
  <c r="L8" i="15"/>
  <c r="N8" i="15"/>
  <c r="R8" i="15"/>
  <c r="J8" i="15"/>
  <c r="S29" i="15"/>
  <c r="O29" i="15"/>
  <c r="Q8" i="15"/>
  <c r="H63" i="14"/>
  <c r="J63" i="14" s="1"/>
  <c r="I63" i="14"/>
  <c r="K63" i="14" s="1"/>
  <c r="Q63" i="14" s="1"/>
  <c r="A63" i="14"/>
  <c r="B63" i="14"/>
  <c r="H62" i="14" l="1"/>
  <c r="J62" i="14" s="1"/>
  <c r="I62" i="14"/>
  <c r="K62" i="14" s="1"/>
  <c r="Q62" i="14" s="1"/>
  <c r="A62" i="14"/>
  <c r="B62" i="14"/>
  <c r="G58" i="10" l="1"/>
  <c r="G57" i="10" s="1"/>
  <c r="G56" i="10" s="1"/>
  <c r="E55" i="10"/>
  <c r="E54" i="10"/>
  <c r="E53" i="10"/>
  <c r="D53" i="10"/>
  <c r="E52" i="10"/>
  <c r="E51" i="10"/>
  <c r="E50" i="10"/>
  <c r="E49" i="10"/>
  <c r="E48" i="10"/>
  <c r="E47" i="10"/>
  <c r="D47" i="10"/>
  <c r="D55" i="10"/>
  <c r="D54" i="10"/>
  <c r="F53" i="10"/>
  <c r="D52" i="10"/>
  <c r="D51" i="10"/>
  <c r="D50" i="10"/>
  <c r="D48" i="10"/>
  <c r="D49" i="10"/>
  <c r="F49" i="10"/>
  <c r="J55" i="10" l="1"/>
  <c r="J54" i="10"/>
  <c r="J53" i="10"/>
  <c r="E16" i="10"/>
  <c r="E15" i="10"/>
  <c r="E14" i="10"/>
  <c r="G55" i="10"/>
  <c r="G52" i="10"/>
  <c r="G49" i="10"/>
  <c r="G48" i="10" l="1"/>
  <c r="H49" i="10"/>
  <c r="I49" i="10"/>
  <c r="G51" i="10"/>
  <c r="I52" i="10"/>
  <c r="H52" i="10"/>
  <c r="I55" i="10"/>
  <c r="G54" i="10"/>
  <c r="K52" i="10"/>
  <c r="J52" i="10"/>
  <c r="K51" i="10"/>
  <c r="J51" i="10"/>
  <c r="K50" i="10"/>
  <c r="J50" i="10"/>
  <c r="K49" i="10"/>
  <c r="J49" i="10"/>
  <c r="K48" i="10"/>
  <c r="J48" i="10"/>
  <c r="K47" i="10"/>
  <c r="J47" i="10"/>
  <c r="L55" i="10"/>
  <c r="L54" i="10"/>
  <c r="L53" i="10"/>
  <c r="L52" i="10"/>
  <c r="L51" i="10"/>
  <c r="L50" i="10"/>
  <c r="L49" i="10"/>
  <c r="L48" i="10"/>
  <c r="L47" i="10"/>
  <c r="F55" i="10"/>
  <c r="F54" i="10"/>
  <c r="F52" i="10"/>
  <c r="F51" i="10"/>
  <c r="F50" i="10"/>
  <c r="F48" i="10"/>
  <c r="F47" i="10"/>
  <c r="D58" i="10"/>
  <c r="D16" i="10" s="1"/>
  <c r="D57" i="10"/>
  <c r="D15" i="10" s="1"/>
  <c r="D56" i="10"/>
  <c r="D14" i="10" s="1"/>
  <c r="E13" i="10" l="1"/>
  <c r="G47" i="10"/>
  <c r="I48" i="10"/>
  <c r="H48" i="10"/>
  <c r="E6" i="10" s="1"/>
  <c r="G53" i="10"/>
  <c r="I53" i="10" s="1"/>
  <c r="I54" i="10"/>
  <c r="G50" i="10"/>
  <c r="H51" i="10"/>
  <c r="I51" i="10"/>
  <c r="E12" i="10"/>
  <c r="E10" i="10"/>
  <c r="E7" i="10"/>
  <c r="D8" i="10"/>
  <c r="D11" i="10"/>
  <c r="D10" i="10"/>
  <c r="D9" i="10"/>
  <c r="D13" i="10"/>
  <c r="D12" i="10"/>
  <c r="E9" i="10" l="1"/>
  <c r="I50" i="10"/>
  <c r="H50" i="10"/>
  <c r="E11" i="10"/>
  <c r="H47" i="10"/>
  <c r="I47" i="10"/>
  <c r="A43" i="2"/>
  <c r="A42" i="2"/>
  <c r="A40" i="2"/>
  <c r="A39" i="2"/>
  <c r="A38" i="2"/>
  <c r="A37" i="2"/>
  <c r="A36" i="2"/>
  <c r="A35" i="2"/>
  <c r="A58" i="10"/>
  <c r="A57" i="10"/>
  <c r="A56" i="10"/>
  <c r="A55" i="10"/>
  <c r="A54" i="10"/>
  <c r="A53" i="10"/>
  <c r="A52" i="10"/>
  <c r="A51" i="10"/>
  <c r="A50" i="10"/>
  <c r="A49" i="10"/>
  <c r="A48" i="10"/>
  <c r="A47" i="10"/>
  <c r="E8" i="10" l="1"/>
  <c r="D6" i="10"/>
  <c r="D7" i="10"/>
  <c r="D5" i="10"/>
  <c r="E73" i="34"/>
  <c r="T23" i="14"/>
  <c r="T24" i="14"/>
  <c r="T25" i="14"/>
  <c r="T26" i="14"/>
  <c r="T27" i="14"/>
  <c r="P60" i="14" l="1"/>
  <c r="R60" i="14" s="1"/>
  <c r="P61" i="14"/>
  <c r="R61" i="14" s="1"/>
  <c r="B19" i="39"/>
  <c r="B4" i="39"/>
  <c r="B5" i="39"/>
  <c r="B6" i="39"/>
  <c r="B7" i="39"/>
  <c r="B8" i="39"/>
  <c r="B9" i="39"/>
  <c r="B17" i="39"/>
  <c r="B10" i="39"/>
  <c r="B11" i="39"/>
  <c r="B12" i="39"/>
  <c r="B13" i="39"/>
  <c r="B14" i="39"/>
  <c r="B15" i="39"/>
  <c r="B16" i="39"/>
  <c r="B18" i="39"/>
  <c r="B3" i="39"/>
  <c r="A13" i="36"/>
  <c r="H15" i="36"/>
  <c r="E58" i="34" l="1"/>
  <c r="I65" i="34"/>
  <c r="F65" i="34"/>
  <c r="E65" i="34"/>
  <c r="I64" i="34"/>
  <c r="F64" i="34"/>
  <c r="E64" i="34"/>
  <c r="I63" i="34"/>
  <c r="F63" i="34"/>
  <c r="E63" i="34"/>
  <c r="I62" i="34"/>
  <c r="F62" i="34"/>
  <c r="E62" i="34"/>
  <c r="I61" i="34"/>
  <c r="F61" i="34"/>
  <c r="E61" i="34"/>
  <c r="G60" i="34"/>
  <c r="J60" i="34" s="1"/>
  <c r="G59" i="34"/>
  <c r="J59" i="34" s="1"/>
  <c r="I58" i="34"/>
  <c r="G58" i="34"/>
  <c r="F58" i="34"/>
  <c r="J65" i="34" l="1"/>
  <c r="J62" i="34"/>
  <c r="J61" i="34"/>
  <c r="J64" i="34"/>
  <c r="J58" i="34"/>
  <c r="J63" i="34"/>
  <c r="J67" i="34" l="1"/>
  <c r="H22" i="14"/>
  <c r="J22" i="14" s="1"/>
  <c r="I22" i="14"/>
  <c r="K22" i="14" s="1"/>
  <c r="H23" i="14"/>
  <c r="J23" i="14" s="1"/>
  <c r="I23" i="14"/>
  <c r="K23" i="14" s="1"/>
  <c r="Q23" i="14" s="1"/>
  <c r="H24" i="14"/>
  <c r="J24" i="14" s="1"/>
  <c r="I24" i="14"/>
  <c r="K24" i="14" s="1"/>
  <c r="Q24" i="14" s="1"/>
  <c r="H25" i="14"/>
  <c r="J25" i="14" s="1"/>
  <c r="I25" i="14"/>
  <c r="K25" i="14" s="1"/>
  <c r="Q25" i="14" s="1"/>
  <c r="H26" i="14"/>
  <c r="J26" i="14" s="1"/>
  <c r="I26" i="14"/>
  <c r="K26" i="14" s="1"/>
  <c r="Q26" i="14" s="1"/>
  <c r="H27" i="14"/>
  <c r="J27" i="14" s="1"/>
  <c r="I27" i="14"/>
  <c r="K27" i="14" s="1"/>
  <c r="Q27" i="14" s="1"/>
  <c r="A22" i="14"/>
  <c r="B22" i="14"/>
  <c r="A23" i="14"/>
  <c r="B23" i="14"/>
  <c r="A24" i="14"/>
  <c r="B24" i="14"/>
  <c r="A25" i="14"/>
  <c r="B25" i="14"/>
  <c r="A26" i="14"/>
  <c r="B26" i="14"/>
  <c r="A27" i="14"/>
  <c r="B27" i="14"/>
  <c r="B5" i="3"/>
  <c r="B6" i="3"/>
  <c r="L23" i="14" s="1"/>
  <c r="M23" i="14" s="1"/>
  <c r="B7" i="3"/>
  <c r="B17" i="3"/>
  <c r="P22" i="14" l="1"/>
  <c r="Q22" i="14"/>
  <c r="L78" i="14"/>
  <c r="L22" i="14"/>
  <c r="N22" i="14" s="1"/>
  <c r="L25" i="14"/>
  <c r="M25" i="14" s="1"/>
  <c r="L27" i="14"/>
  <c r="M27" i="14" s="1"/>
  <c r="L24" i="14"/>
  <c r="N24" i="14" s="1"/>
  <c r="L26" i="14"/>
  <c r="N26" i="14" s="1"/>
  <c r="U23" i="14"/>
  <c r="N23" i="14"/>
  <c r="R22" i="14" l="1"/>
  <c r="M78" i="14"/>
  <c r="N78" i="14"/>
  <c r="U25" i="14"/>
  <c r="U27" i="14"/>
  <c r="M22" i="14"/>
  <c r="N27" i="14"/>
  <c r="N25" i="14"/>
  <c r="O25" i="14" s="1"/>
  <c r="S25" i="14" s="1"/>
  <c r="M24" i="14"/>
  <c r="M26" i="14"/>
  <c r="O23" i="14"/>
  <c r="T78" i="14" l="1"/>
  <c r="AD78" i="14"/>
  <c r="U78" i="14"/>
  <c r="AF78" i="14"/>
  <c r="O78" i="14"/>
  <c r="S78" i="14" s="1"/>
  <c r="AE78" i="14"/>
  <c r="O24" i="14"/>
  <c r="S24" i="14" s="1"/>
  <c r="O26" i="14"/>
  <c r="S26" i="14" s="1"/>
  <c r="O22" i="14"/>
  <c r="U22" i="14"/>
  <c r="S23" i="14"/>
  <c r="V23" i="14" s="1"/>
  <c r="U24" i="14"/>
  <c r="O27" i="14"/>
  <c r="U26" i="14"/>
  <c r="V25" i="14"/>
  <c r="S22" i="14" l="1"/>
  <c r="T4" i="16"/>
  <c r="W4" i="16" s="1"/>
  <c r="V78" i="14"/>
  <c r="AG78" i="14"/>
  <c r="V22" i="14"/>
  <c r="V24" i="14"/>
  <c r="S27" i="14"/>
  <c r="V27" i="14" s="1"/>
  <c r="V26" i="14"/>
  <c r="O16" i="38" l="1"/>
  <c r="M16" i="38"/>
  <c r="L16" i="38"/>
  <c r="K16" i="38"/>
  <c r="I16" i="38"/>
  <c r="H16" i="38"/>
  <c r="J16" i="38" s="1"/>
  <c r="A16" i="38"/>
  <c r="O15" i="38"/>
  <c r="M15" i="38"/>
  <c r="L15" i="38"/>
  <c r="K15" i="38"/>
  <c r="I15" i="38"/>
  <c r="H15" i="38"/>
  <c r="J15" i="38" s="1"/>
  <c r="A15" i="38"/>
  <c r="O14" i="38"/>
  <c r="M14" i="38"/>
  <c r="L14" i="38"/>
  <c r="K14" i="38"/>
  <c r="I14" i="38"/>
  <c r="A14" i="38"/>
  <c r="O13" i="38"/>
  <c r="M13" i="38"/>
  <c r="L13" i="38"/>
  <c r="K13" i="38"/>
  <c r="I13" i="38"/>
  <c r="A13" i="38"/>
  <c r="F7" i="38"/>
  <c r="C3" i="38"/>
  <c r="C2" i="38"/>
  <c r="O16" i="37"/>
  <c r="M16" i="37"/>
  <c r="L16" i="37"/>
  <c r="K16" i="37"/>
  <c r="I16" i="37"/>
  <c r="H16" i="37"/>
  <c r="A16" i="37"/>
  <c r="O15" i="37"/>
  <c r="M15" i="37"/>
  <c r="L15" i="37"/>
  <c r="K15" i="37"/>
  <c r="I15" i="37"/>
  <c r="H15" i="37"/>
  <c r="A15" i="37"/>
  <c r="O14" i="37"/>
  <c r="M14" i="37"/>
  <c r="L14" i="37"/>
  <c r="K14" i="37"/>
  <c r="I14" i="37"/>
  <c r="A14" i="37"/>
  <c r="O13" i="37"/>
  <c r="M13" i="37"/>
  <c r="L13" i="37"/>
  <c r="K13" i="37"/>
  <c r="I13" i="37"/>
  <c r="A13" i="37"/>
  <c r="F7" i="37"/>
  <c r="C3" i="37"/>
  <c r="C2" i="37"/>
  <c r="O16" i="36"/>
  <c r="M16" i="36"/>
  <c r="L16" i="36"/>
  <c r="K16" i="36"/>
  <c r="I16" i="36"/>
  <c r="H16" i="36"/>
  <c r="J16" i="36" s="1"/>
  <c r="A16" i="36"/>
  <c r="O15" i="36"/>
  <c r="M15" i="36"/>
  <c r="L15" i="36"/>
  <c r="K15" i="36"/>
  <c r="I15" i="36"/>
  <c r="J15" i="36"/>
  <c r="A15" i="36"/>
  <c r="O14" i="36"/>
  <c r="M14" i="36"/>
  <c r="L14" i="36"/>
  <c r="K14" i="36"/>
  <c r="I14" i="36"/>
  <c r="A14" i="36"/>
  <c r="O13" i="36"/>
  <c r="M13" i="36"/>
  <c r="L13" i="36"/>
  <c r="K13" i="36"/>
  <c r="I13" i="36"/>
  <c r="F7" i="36"/>
  <c r="C3" i="36"/>
  <c r="C2" i="36"/>
  <c r="E78" i="35"/>
  <c r="E77" i="35"/>
  <c r="E76" i="35"/>
  <c r="E75" i="35"/>
  <c r="E74" i="35"/>
  <c r="E71" i="35"/>
  <c r="E46" i="35"/>
  <c r="C3" i="35"/>
  <c r="C2" i="35"/>
  <c r="I191" i="34"/>
  <c r="F191" i="34"/>
  <c r="E191" i="34"/>
  <c r="J191" i="34" s="1"/>
  <c r="I190" i="34"/>
  <c r="F190" i="34"/>
  <c r="E190" i="34"/>
  <c r="I189" i="34"/>
  <c r="F189" i="34"/>
  <c r="E189" i="34"/>
  <c r="I188" i="34"/>
  <c r="F188" i="34"/>
  <c r="E188" i="34"/>
  <c r="I187" i="34"/>
  <c r="F187" i="34"/>
  <c r="E187" i="34"/>
  <c r="J187" i="34" s="1"/>
  <c r="J186" i="34"/>
  <c r="G186" i="34"/>
  <c r="J185" i="34"/>
  <c r="G185" i="34"/>
  <c r="I184" i="34"/>
  <c r="G184" i="34"/>
  <c r="F184" i="34"/>
  <c r="E184" i="34"/>
  <c r="J184" i="34" s="1"/>
  <c r="I175" i="34"/>
  <c r="F175" i="34"/>
  <c r="E175" i="34"/>
  <c r="I174" i="34"/>
  <c r="F174" i="34"/>
  <c r="E174" i="34"/>
  <c r="I173" i="34"/>
  <c r="F173" i="34"/>
  <c r="E173" i="34"/>
  <c r="J173" i="34" s="1"/>
  <c r="I172" i="34"/>
  <c r="F172" i="34"/>
  <c r="E172" i="34"/>
  <c r="J172" i="34" s="1"/>
  <c r="I171" i="34"/>
  <c r="F171" i="34"/>
  <c r="E171" i="34"/>
  <c r="J171" i="34" s="1"/>
  <c r="J170" i="34"/>
  <c r="G170" i="34"/>
  <c r="J169" i="34"/>
  <c r="G169" i="34"/>
  <c r="I168" i="34"/>
  <c r="G168" i="34"/>
  <c r="F168" i="34"/>
  <c r="E168" i="34"/>
  <c r="I159" i="34"/>
  <c r="F159" i="34"/>
  <c r="E159" i="34"/>
  <c r="I158" i="34"/>
  <c r="F158" i="34"/>
  <c r="E158" i="34"/>
  <c r="J158" i="34" s="1"/>
  <c r="I157" i="34"/>
  <c r="F157" i="34"/>
  <c r="E157" i="34"/>
  <c r="J157" i="34" s="1"/>
  <c r="I156" i="34"/>
  <c r="F156" i="34"/>
  <c r="E156" i="34"/>
  <c r="J156" i="34" s="1"/>
  <c r="I155" i="34"/>
  <c r="F155" i="34"/>
  <c r="E155" i="34"/>
  <c r="J154" i="34"/>
  <c r="G154" i="34"/>
  <c r="J153" i="34"/>
  <c r="G153" i="34"/>
  <c r="I152" i="34"/>
  <c r="G152" i="34"/>
  <c r="F152" i="34"/>
  <c r="E152" i="34"/>
  <c r="J152" i="34" s="1"/>
  <c r="I144" i="34"/>
  <c r="F144" i="34"/>
  <c r="E144" i="34"/>
  <c r="J144" i="34" s="1"/>
  <c r="I143" i="34"/>
  <c r="F143" i="34"/>
  <c r="E143" i="34"/>
  <c r="J143" i="34" s="1"/>
  <c r="I142" i="34"/>
  <c r="F142" i="34"/>
  <c r="E142" i="34"/>
  <c r="I141" i="34"/>
  <c r="F141" i="34"/>
  <c r="E141" i="34"/>
  <c r="I140" i="34"/>
  <c r="F140" i="34"/>
  <c r="E140" i="34"/>
  <c r="J139" i="34"/>
  <c r="G139" i="34"/>
  <c r="J138" i="34"/>
  <c r="G138" i="34"/>
  <c r="I137" i="34"/>
  <c r="G137" i="34"/>
  <c r="F137" i="34"/>
  <c r="E137" i="34"/>
  <c r="I129" i="34"/>
  <c r="F129" i="34"/>
  <c r="E129" i="34"/>
  <c r="J129" i="34" s="1"/>
  <c r="I128" i="34"/>
  <c r="F128" i="34"/>
  <c r="E128" i="34"/>
  <c r="I127" i="34"/>
  <c r="F127" i="34"/>
  <c r="E127" i="34"/>
  <c r="I126" i="34"/>
  <c r="F126" i="34"/>
  <c r="E126" i="34"/>
  <c r="I125" i="34"/>
  <c r="F125" i="34"/>
  <c r="E125" i="34"/>
  <c r="J125" i="34" s="1"/>
  <c r="J124" i="34"/>
  <c r="G124" i="34"/>
  <c r="J123" i="34"/>
  <c r="G123" i="34"/>
  <c r="I117" i="34"/>
  <c r="G117" i="34"/>
  <c r="F117" i="34"/>
  <c r="E117" i="34"/>
  <c r="J117" i="34" s="1"/>
  <c r="I109" i="34"/>
  <c r="H109" i="34"/>
  <c r="I108" i="34"/>
  <c r="H108" i="34"/>
  <c r="I107" i="34"/>
  <c r="G107" i="34"/>
  <c r="F107" i="34"/>
  <c r="I106" i="34"/>
  <c r="F106" i="34"/>
  <c r="I105" i="34"/>
  <c r="F105" i="34"/>
  <c r="I104" i="34"/>
  <c r="F104" i="34"/>
  <c r="I103" i="34"/>
  <c r="G103" i="34"/>
  <c r="F103" i="34"/>
  <c r="I95" i="34"/>
  <c r="F95" i="34"/>
  <c r="E95" i="34"/>
  <c r="I94" i="34"/>
  <c r="F94" i="34"/>
  <c r="E94" i="34"/>
  <c r="I93" i="34"/>
  <c r="F93" i="34"/>
  <c r="E93" i="34"/>
  <c r="J93" i="34" s="1"/>
  <c r="I92" i="34"/>
  <c r="F92" i="34"/>
  <c r="E92" i="34"/>
  <c r="J92" i="34" s="1"/>
  <c r="I91" i="34"/>
  <c r="F91" i="34"/>
  <c r="E91" i="34"/>
  <c r="J91" i="34" s="1"/>
  <c r="J90" i="34"/>
  <c r="G90" i="34"/>
  <c r="J89" i="34"/>
  <c r="G89" i="34"/>
  <c r="I88" i="34"/>
  <c r="G88" i="34"/>
  <c r="F88" i="34"/>
  <c r="E88" i="34"/>
  <c r="I80" i="34"/>
  <c r="F80" i="34"/>
  <c r="E80" i="34"/>
  <c r="I79" i="34"/>
  <c r="F79" i="34"/>
  <c r="E79" i="34"/>
  <c r="J79" i="34" s="1"/>
  <c r="I78" i="34"/>
  <c r="F78" i="34"/>
  <c r="E78" i="34"/>
  <c r="J78" i="34" s="1"/>
  <c r="I77" i="34"/>
  <c r="F77" i="34"/>
  <c r="E77" i="34"/>
  <c r="J77" i="34" s="1"/>
  <c r="I76" i="34"/>
  <c r="F76" i="34"/>
  <c r="E76" i="34"/>
  <c r="J75" i="34"/>
  <c r="G75" i="34"/>
  <c r="J74" i="34"/>
  <c r="G74" i="34"/>
  <c r="I73" i="34"/>
  <c r="G73" i="34"/>
  <c r="F73" i="34"/>
  <c r="J73" i="34"/>
  <c r="E49" i="34"/>
  <c r="E109" i="34" s="1"/>
  <c r="J109" i="34" s="1"/>
  <c r="E28" i="34"/>
  <c r="E23" i="34"/>
  <c r="E10" i="34"/>
  <c r="E3" i="34"/>
  <c r="E2" i="34"/>
  <c r="E57" i="33"/>
  <c r="E30" i="33"/>
  <c r="E28" i="33"/>
  <c r="H14" i="38" s="1"/>
  <c r="J14" i="38" s="1"/>
  <c r="E3" i="33"/>
  <c r="E2" i="33"/>
  <c r="J76" i="34" l="1"/>
  <c r="J141" i="34"/>
  <c r="J155" i="34"/>
  <c r="J126" i="34"/>
  <c r="J140" i="34"/>
  <c r="J188" i="34"/>
  <c r="J95" i="34"/>
  <c r="J128" i="34"/>
  <c r="J142" i="34"/>
  <c r="J175" i="34"/>
  <c r="J190" i="34"/>
  <c r="J80" i="34"/>
  <c r="J94" i="34"/>
  <c r="J127" i="34"/>
  <c r="J159" i="34"/>
  <c r="J174" i="34"/>
  <c r="J189" i="34"/>
  <c r="J15" i="37"/>
  <c r="H13" i="36"/>
  <c r="J13" i="36" s="1"/>
  <c r="H14" i="36"/>
  <c r="J14" i="36" s="1"/>
  <c r="J16" i="37"/>
  <c r="J168" i="34"/>
  <c r="E103" i="34"/>
  <c r="J103" i="34" s="1"/>
  <c r="E104" i="34"/>
  <c r="J104" i="34" s="1"/>
  <c r="E107" i="34"/>
  <c r="J107" i="34" s="1"/>
  <c r="E108" i="34"/>
  <c r="J108" i="34" s="1"/>
  <c r="E106" i="34"/>
  <c r="J106" i="34" s="1"/>
  <c r="E105" i="34"/>
  <c r="J105" i="34" s="1"/>
  <c r="J88" i="34"/>
  <c r="J137" i="34"/>
  <c r="J146" i="34" s="1"/>
  <c r="H13" i="37"/>
  <c r="J13" i="37" s="1"/>
  <c r="H14" i="37"/>
  <c r="J14" i="37" s="1"/>
  <c r="E79" i="35"/>
  <c r="H13" i="38"/>
  <c r="J13" i="38" s="1"/>
  <c r="J131" i="34" l="1"/>
  <c r="J161" i="34"/>
  <c r="N13" i="36" s="1"/>
  <c r="P13" i="36" s="1"/>
  <c r="J177" i="34"/>
  <c r="N13" i="37" s="1"/>
  <c r="P13" i="37" s="1"/>
  <c r="J97" i="34"/>
  <c r="J82" i="34"/>
  <c r="J193" i="34"/>
  <c r="N15" i="38" s="1"/>
  <c r="P15" i="38" s="1"/>
  <c r="E8" i="39" s="1"/>
  <c r="N15" i="36"/>
  <c r="P15" i="36" s="1"/>
  <c r="N14" i="38"/>
  <c r="P14" i="38" s="1"/>
  <c r="J111" i="34"/>
  <c r="N15" i="37" l="1"/>
  <c r="P15" i="37" s="1"/>
  <c r="N16" i="38"/>
  <c r="P16" i="38" s="1"/>
  <c r="N14" i="36"/>
  <c r="P14" i="36" s="1"/>
  <c r="P63" i="14"/>
  <c r="R63" i="14" s="1"/>
  <c r="N13" i="38"/>
  <c r="P13" i="38" s="1"/>
  <c r="N16" i="36"/>
  <c r="P16" i="36" s="1"/>
  <c r="E12" i="39"/>
  <c r="P23" i="14"/>
  <c r="P62" i="14"/>
  <c r="R62" i="14" s="1"/>
  <c r="N16" i="37"/>
  <c r="P16" i="37" s="1"/>
  <c r="P25" i="14"/>
  <c r="N14" i="37"/>
  <c r="P14" i="37" s="1"/>
  <c r="E7" i="39"/>
  <c r="E9" i="39"/>
  <c r="E14" i="39"/>
  <c r="E16" i="39"/>
  <c r="R25" i="14" l="1"/>
  <c r="W25" i="14" s="1"/>
  <c r="X25" i="14" s="1"/>
  <c r="Y25" i="14" s="1"/>
  <c r="Z25" i="14" s="1"/>
  <c r="R23" i="14"/>
  <c r="P24" i="14"/>
  <c r="P78" i="14"/>
  <c r="W22" i="14"/>
  <c r="X22" i="14" s="1"/>
  <c r="E15" i="39"/>
  <c r="P26" i="14"/>
  <c r="P27" i="14"/>
  <c r="W23" i="14"/>
  <c r="X23" i="14" s="1"/>
  <c r="Y23" i="14" s="1"/>
  <c r="Z23" i="14" s="1"/>
  <c r="Y22" i="14" l="1"/>
  <c r="Z22" i="14" s="1"/>
  <c r="Y4" i="16"/>
  <c r="AB4" i="16" s="1"/>
  <c r="R26" i="14"/>
  <c r="R27" i="14"/>
  <c r="R24" i="14"/>
  <c r="W24" i="14" s="1"/>
  <c r="X24" i="14" s="1"/>
  <c r="Y24" i="14" s="1"/>
  <c r="Z24" i="14" s="1"/>
  <c r="R78" i="14"/>
  <c r="W78" i="14" s="1"/>
  <c r="X78" i="14" s="1"/>
  <c r="Y78" i="14" s="1"/>
  <c r="Z78" i="14" s="1"/>
  <c r="AH78" i="14"/>
  <c r="AI78" i="14" s="1"/>
  <c r="AJ78" i="14" s="1"/>
  <c r="AK78" i="14" s="1"/>
  <c r="W26" i="14"/>
  <c r="X26" i="14" s="1"/>
  <c r="Y26" i="14" s="1"/>
  <c r="Z26" i="14" s="1"/>
  <c r="W27" i="14"/>
  <c r="X27" i="14" s="1"/>
  <c r="Y27" i="14" s="1"/>
  <c r="Z27" i="14" s="1"/>
  <c r="AD4" i="16" l="1"/>
  <c r="AC4" i="16"/>
  <c r="M55" i="16" l="1"/>
  <c r="L55" i="16"/>
  <c r="K55" i="16"/>
  <c r="B55" i="16"/>
  <c r="AN55" i="16" s="1"/>
  <c r="A55" i="16"/>
  <c r="M54" i="16"/>
  <c r="L54" i="16"/>
  <c r="K54" i="16"/>
  <c r="B54" i="16"/>
  <c r="AN54" i="16" s="1"/>
  <c r="A54" i="16"/>
  <c r="M53" i="16"/>
  <c r="L53" i="16"/>
  <c r="K53" i="16"/>
  <c r="B53" i="16"/>
  <c r="AN53" i="16" s="1"/>
  <c r="A53" i="16"/>
  <c r="M52" i="16"/>
  <c r="L52" i="16"/>
  <c r="K52" i="16"/>
  <c r="B52" i="16"/>
  <c r="AN52" i="16" s="1"/>
  <c r="A52" i="16"/>
  <c r="M51" i="16"/>
  <c r="L51" i="16"/>
  <c r="K51" i="16"/>
  <c r="B51" i="16"/>
  <c r="AN51" i="16" s="1"/>
  <c r="A51" i="16"/>
  <c r="M50" i="16"/>
  <c r="L50" i="16"/>
  <c r="K50" i="16"/>
  <c r="B50" i="16"/>
  <c r="AN50" i="16" s="1"/>
  <c r="A50" i="16"/>
  <c r="M49" i="16"/>
  <c r="L49" i="16"/>
  <c r="K49" i="16"/>
  <c r="B49" i="16"/>
  <c r="AN49" i="16" s="1"/>
  <c r="A49" i="16"/>
  <c r="M48" i="16"/>
  <c r="L48" i="16"/>
  <c r="K48" i="16"/>
  <c r="B48" i="16"/>
  <c r="AN48" i="16" s="1"/>
  <c r="A48" i="16"/>
  <c r="M47" i="16"/>
  <c r="L47" i="16"/>
  <c r="K47" i="16"/>
  <c r="B47" i="16"/>
  <c r="AN47" i="16" s="1"/>
  <c r="A47" i="16"/>
  <c r="M46" i="16"/>
  <c r="L46" i="16"/>
  <c r="K46" i="16"/>
  <c r="B46" i="16"/>
  <c r="AN46" i="16" s="1"/>
  <c r="A46" i="16"/>
  <c r="M45" i="16"/>
  <c r="L45" i="16"/>
  <c r="K45" i="16"/>
  <c r="B45" i="16"/>
  <c r="AN45" i="16" s="1"/>
  <c r="A45" i="16"/>
  <c r="M44" i="16"/>
  <c r="L44" i="16"/>
  <c r="K44" i="16"/>
  <c r="B44" i="16"/>
  <c r="AN44" i="16" s="1"/>
  <c r="A44" i="16"/>
  <c r="M43" i="16"/>
  <c r="L43" i="16"/>
  <c r="K43" i="16"/>
  <c r="B43" i="16"/>
  <c r="AN43" i="16" s="1"/>
  <c r="A43" i="16"/>
  <c r="M42" i="16"/>
  <c r="L42" i="16"/>
  <c r="K42" i="16"/>
  <c r="B42" i="16"/>
  <c r="AN42" i="16" s="1"/>
  <c r="A42" i="16"/>
  <c r="M41" i="16"/>
  <c r="L41" i="16"/>
  <c r="K41" i="16"/>
  <c r="B41" i="16"/>
  <c r="AN41" i="16" s="1"/>
  <c r="A41" i="16"/>
  <c r="M40" i="16"/>
  <c r="L40" i="16"/>
  <c r="K40" i="16"/>
  <c r="B40" i="16"/>
  <c r="AN40" i="16" s="1"/>
  <c r="A40" i="16"/>
  <c r="M39" i="16"/>
  <c r="L39" i="16"/>
  <c r="K39" i="16"/>
  <c r="B39" i="16"/>
  <c r="AN39" i="16" s="1"/>
  <c r="A39" i="16"/>
  <c r="M38" i="16"/>
  <c r="L38" i="16"/>
  <c r="K38" i="16"/>
  <c r="B38" i="16"/>
  <c r="AN38" i="16" s="1"/>
  <c r="A38" i="16"/>
  <c r="M37" i="16"/>
  <c r="L37" i="16"/>
  <c r="K37" i="16"/>
  <c r="B37" i="16"/>
  <c r="AN37" i="16" s="1"/>
  <c r="A37" i="16"/>
  <c r="M36" i="16"/>
  <c r="L36" i="16"/>
  <c r="K36" i="16"/>
  <c r="B36" i="16"/>
  <c r="AN36" i="16" s="1"/>
  <c r="A36" i="16"/>
  <c r="M35" i="16"/>
  <c r="L35" i="16"/>
  <c r="K35" i="16"/>
  <c r="B35" i="16"/>
  <c r="AN35" i="16" s="1"/>
  <c r="A35" i="16"/>
  <c r="M34" i="16"/>
  <c r="L34" i="16"/>
  <c r="K34" i="16"/>
  <c r="B34" i="16"/>
  <c r="AN34" i="16" s="1"/>
  <c r="A34" i="16"/>
  <c r="M33" i="16"/>
  <c r="L33" i="16"/>
  <c r="K33" i="16"/>
  <c r="B33" i="16"/>
  <c r="AN33" i="16" s="1"/>
  <c r="A33" i="16"/>
  <c r="M32" i="16"/>
  <c r="L32" i="16"/>
  <c r="K32" i="16"/>
  <c r="B32" i="16"/>
  <c r="AN32" i="16" s="1"/>
  <c r="A32" i="16"/>
  <c r="M31" i="16"/>
  <c r="L31" i="16"/>
  <c r="K31" i="16"/>
  <c r="B31" i="16"/>
  <c r="AN31" i="16" s="1"/>
  <c r="A31" i="16"/>
  <c r="M30" i="16"/>
  <c r="L30" i="16"/>
  <c r="K30" i="16"/>
  <c r="B30" i="16"/>
  <c r="AN30" i="16" s="1"/>
  <c r="A30" i="16"/>
  <c r="M27" i="16"/>
  <c r="L27" i="16"/>
  <c r="K27" i="16"/>
  <c r="B27" i="16"/>
  <c r="AN27" i="16" s="1"/>
  <c r="A27" i="16"/>
  <c r="M26" i="16"/>
  <c r="L26" i="16"/>
  <c r="K26" i="16"/>
  <c r="B26" i="16"/>
  <c r="AN26" i="16" s="1"/>
  <c r="A26" i="16"/>
  <c r="M25" i="16"/>
  <c r="L25" i="16"/>
  <c r="K25" i="16"/>
  <c r="B25" i="16"/>
  <c r="AN25" i="16" s="1"/>
  <c r="A25" i="16"/>
  <c r="M24" i="16"/>
  <c r="L24" i="16"/>
  <c r="K24" i="16"/>
  <c r="B24" i="16"/>
  <c r="AN24" i="16" s="1"/>
  <c r="A24" i="16"/>
  <c r="M23" i="16"/>
  <c r="L23" i="16"/>
  <c r="K23" i="16"/>
  <c r="B23" i="16"/>
  <c r="AN23" i="16" s="1"/>
  <c r="A23" i="16"/>
  <c r="M22" i="16"/>
  <c r="L22" i="16"/>
  <c r="K22" i="16"/>
  <c r="B22" i="16"/>
  <c r="AN22" i="16" s="1"/>
  <c r="A22" i="16"/>
  <c r="M21" i="16"/>
  <c r="L21" i="16"/>
  <c r="K21" i="16"/>
  <c r="B21" i="16"/>
  <c r="AN21" i="16" s="1"/>
  <c r="A21" i="16"/>
  <c r="M20" i="16"/>
  <c r="L20" i="16"/>
  <c r="K20" i="16"/>
  <c r="B20" i="16"/>
  <c r="AN20" i="16" s="1"/>
  <c r="A20" i="16"/>
  <c r="M19" i="16"/>
  <c r="L19" i="16"/>
  <c r="K19" i="16"/>
  <c r="B19" i="16"/>
  <c r="AN19" i="16" s="1"/>
  <c r="A19" i="16"/>
  <c r="M18" i="16"/>
  <c r="L18" i="16"/>
  <c r="K18" i="16"/>
  <c r="B18" i="16"/>
  <c r="AN18" i="16" s="1"/>
  <c r="A18" i="16"/>
  <c r="M17" i="16"/>
  <c r="L17" i="16"/>
  <c r="K17" i="16"/>
  <c r="B17" i="16"/>
  <c r="AN17" i="16" s="1"/>
  <c r="A17" i="16"/>
  <c r="M16" i="16"/>
  <c r="L16" i="16"/>
  <c r="K16" i="16"/>
  <c r="B16" i="16"/>
  <c r="AN16" i="16" s="1"/>
  <c r="A16" i="16"/>
  <c r="M13" i="16"/>
  <c r="L13" i="16"/>
  <c r="K13" i="16"/>
  <c r="B13" i="16"/>
  <c r="AN13" i="16" s="1"/>
  <c r="A13" i="16"/>
  <c r="M12" i="16"/>
  <c r="L12" i="16"/>
  <c r="K12" i="16"/>
  <c r="B12" i="16"/>
  <c r="A12" i="16"/>
  <c r="DX20" i="18"/>
  <c r="DW20" i="18"/>
  <c r="AV20" i="18"/>
  <c r="AU20" i="18"/>
  <c r="AT20" i="18"/>
  <c r="AS20" i="18"/>
  <c r="AR20" i="18"/>
  <c r="AQ20" i="18"/>
  <c r="AP20" i="18"/>
  <c r="AO20" i="18"/>
  <c r="AN20" i="18"/>
  <c r="AM20" i="18"/>
  <c r="AL20" i="18"/>
  <c r="AK20" i="18"/>
  <c r="AJ20" i="18"/>
  <c r="AI20" i="18"/>
  <c r="AH20" i="18"/>
  <c r="AG20" i="18"/>
  <c r="AF20" i="18"/>
  <c r="AE20" i="18"/>
  <c r="AD20" i="18"/>
  <c r="AC20" i="18"/>
  <c r="AB20" i="18"/>
  <c r="AA20" i="18"/>
  <c r="Z20" i="18"/>
  <c r="Y20" i="18"/>
  <c r="X20" i="18"/>
  <c r="W20" i="18"/>
  <c r="V20" i="18"/>
  <c r="T20" i="18"/>
  <c r="S20" i="18"/>
  <c r="R20" i="18"/>
  <c r="Q20" i="18"/>
  <c r="P20" i="18"/>
  <c r="O20" i="18"/>
  <c r="N20" i="18"/>
  <c r="M20" i="18"/>
  <c r="L20" i="18"/>
  <c r="K20" i="18"/>
  <c r="J20" i="18"/>
  <c r="I20" i="18"/>
  <c r="EV19" i="18"/>
  <c r="EK19" i="18"/>
  <c r="EA19" i="18"/>
  <c r="DW19" i="18"/>
  <c r="AV19" i="18"/>
  <c r="AU19" i="18"/>
  <c r="AT19" i="18"/>
  <c r="AS19" i="18"/>
  <c r="AR19" i="18"/>
  <c r="AQ19" i="18"/>
  <c r="AP19" i="18"/>
  <c r="AO19" i="18"/>
  <c r="AN19" i="18"/>
  <c r="AM19" i="18"/>
  <c r="AL19" i="18"/>
  <c r="AK19" i="18"/>
  <c r="AJ19" i="18"/>
  <c r="AI19" i="18"/>
  <c r="AH19" i="18"/>
  <c r="AG19" i="18"/>
  <c r="AF19" i="18"/>
  <c r="AE19" i="18"/>
  <c r="AD19" i="18"/>
  <c r="AC19" i="18"/>
  <c r="AB19" i="18"/>
  <c r="AA19" i="18"/>
  <c r="Z19" i="18"/>
  <c r="Y19" i="18"/>
  <c r="X19" i="18"/>
  <c r="W19" i="18"/>
  <c r="V19" i="18"/>
  <c r="S19" i="18"/>
  <c r="R19" i="18"/>
  <c r="Q19" i="18"/>
  <c r="P19" i="18"/>
  <c r="O19" i="18"/>
  <c r="N19" i="18"/>
  <c r="M19" i="18"/>
  <c r="L19" i="18"/>
  <c r="K19" i="18"/>
  <c r="J19" i="18"/>
  <c r="I19" i="18"/>
  <c r="EY18" i="18"/>
  <c r="AV18" i="18"/>
  <c r="AU18" i="18"/>
  <c r="AT18" i="18"/>
  <c r="AS18" i="18"/>
  <c r="AR18" i="18"/>
  <c r="AQ18" i="18"/>
  <c r="AP18" i="18"/>
  <c r="AO18" i="18"/>
  <c r="AN18" i="18"/>
  <c r="AM18" i="18"/>
  <c r="AL18" i="18"/>
  <c r="AK18" i="18"/>
  <c r="AJ18" i="18"/>
  <c r="AI18" i="18"/>
  <c r="AH18" i="18"/>
  <c r="AG18" i="18"/>
  <c r="AF18" i="18"/>
  <c r="AE18" i="18"/>
  <c r="AD18" i="18"/>
  <c r="AC18" i="18"/>
  <c r="AB18" i="18"/>
  <c r="AA18" i="18"/>
  <c r="Z18" i="18"/>
  <c r="Y18" i="18"/>
  <c r="X18" i="18"/>
  <c r="W18" i="18"/>
  <c r="V18" i="18"/>
  <c r="T18" i="18"/>
  <c r="S18" i="18"/>
  <c r="R18" i="18"/>
  <c r="Q18" i="18"/>
  <c r="P18" i="18"/>
  <c r="O18" i="18"/>
  <c r="N18" i="18"/>
  <c r="M18" i="18"/>
  <c r="L18" i="18"/>
  <c r="K18" i="18"/>
  <c r="J18" i="18"/>
  <c r="I18" i="18"/>
  <c r="EX17" i="18"/>
  <c r="EA17" i="18"/>
  <c r="AV17" i="18"/>
  <c r="AU17" i="18"/>
  <c r="AT17" i="18"/>
  <c r="AS17" i="18"/>
  <c r="AR17" i="18"/>
  <c r="AQ17" i="18"/>
  <c r="AP17" i="18"/>
  <c r="AO17" i="18"/>
  <c r="AN17" i="18"/>
  <c r="AM17" i="18"/>
  <c r="AL17" i="18"/>
  <c r="AK17" i="18"/>
  <c r="AJ17" i="18"/>
  <c r="AI17" i="18"/>
  <c r="AH17" i="18"/>
  <c r="AG17" i="18"/>
  <c r="AF17" i="18"/>
  <c r="AE17" i="18"/>
  <c r="AD17" i="18"/>
  <c r="AC17" i="18"/>
  <c r="AB17" i="18"/>
  <c r="AA17" i="18"/>
  <c r="Z17" i="18"/>
  <c r="Y17" i="18"/>
  <c r="X17" i="18"/>
  <c r="W17" i="18"/>
  <c r="V17" i="18"/>
  <c r="S17" i="18"/>
  <c r="R17" i="18"/>
  <c r="Q17" i="18"/>
  <c r="P17" i="18"/>
  <c r="O17" i="18"/>
  <c r="N17" i="18"/>
  <c r="M17" i="18"/>
  <c r="L17" i="18"/>
  <c r="K17" i="18"/>
  <c r="J17" i="18"/>
  <c r="I17" i="18"/>
  <c r="EZ16" i="18"/>
  <c r="AV16" i="18"/>
  <c r="AU16" i="18"/>
  <c r="AT16" i="18"/>
  <c r="AS16" i="18"/>
  <c r="AR16" i="18"/>
  <c r="AQ16" i="18"/>
  <c r="AP16" i="18"/>
  <c r="AO16" i="18"/>
  <c r="AN16" i="18"/>
  <c r="AM16" i="18"/>
  <c r="AL16" i="18"/>
  <c r="AK16" i="18"/>
  <c r="AJ16" i="18"/>
  <c r="AI16" i="18"/>
  <c r="AH16" i="18"/>
  <c r="AG16" i="18"/>
  <c r="AF16" i="18"/>
  <c r="AE16" i="18"/>
  <c r="AD16" i="18"/>
  <c r="AC16" i="18"/>
  <c r="AB16" i="18"/>
  <c r="AA16" i="18"/>
  <c r="Z16" i="18"/>
  <c r="Y16" i="18"/>
  <c r="X16" i="18"/>
  <c r="W16" i="18"/>
  <c r="V16" i="18"/>
  <c r="T16" i="18"/>
  <c r="S16" i="18"/>
  <c r="R16" i="18"/>
  <c r="Q16" i="18"/>
  <c r="P16" i="18"/>
  <c r="O16" i="18"/>
  <c r="N16" i="18"/>
  <c r="M16" i="18"/>
  <c r="L16" i="18"/>
  <c r="K16" i="18"/>
  <c r="J16" i="18"/>
  <c r="I16" i="18"/>
  <c r="EU15" i="18"/>
  <c r="ET15" i="18"/>
  <c r="AV15" i="18"/>
  <c r="AU15" i="18"/>
  <c r="AT15" i="18"/>
  <c r="AS15" i="18"/>
  <c r="AR15" i="18"/>
  <c r="AQ15" i="18"/>
  <c r="AP15" i="18"/>
  <c r="AO15" i="18"/>
  <c r="AN15" i="18"/>
  <c r="AM15" i="18"/>
  <c r="AL15" i="18"/>
  <c r="AK15" i="18"/>
  <c r="AJ15" i="18"/>
  <c r="AI15" i="18"/>
  <c r="AH15" i="18"/>
  <c r="AG15" i="18"/>
  <c r="AF15" i="18"/>
  <c r="AE15" i="18"/>
  <c r="AD15" i="18"/>
  <c r="AC15" i="18"/>
  <c r="AB15" i="18"/>
  <c r="AA15" i="18"/>
  <c r="Z15" i="18"/>
  <c r="Y15" i="18"/>
  <c r="X15" i="18"/>
  <c r="W15" i="18"/>
  <c r="V15" i="18"/>
  <c r="S15" i="18"/>
  <c r="R15" i="18"/>
  <c r="Q15" i="18"/>
  <c r="P15" i="18"/>
  <c r="O15" i="18"/>
  <c r="N15" i="18"/>
  <c r="M15" i="18"/>
  <c r="L15" i="18"/>
  <c r="K15" i="18"/>
  <c r="J15" i="18"/>
  <c r="I15" i="18"/>
  <c r="AV14" i="18"/>
  <c r="AU14" i="18"/>
  <c r="AT14" i="18"/>
  <c r="AS14" i="18"/>
  <c r="AR14" i="18"/>
  <c r="AQ14" i="18"/>
  <c r="AP14" i="18"/>
  <c r="AO14" i="18"/>
  <c r="AN14" i="18"/>
  <c r="AM14" i="18"/>
  <c r="AL14" i="18"/>
  <c r="AK14" i="18"/>
  <c r="AJ14" i="18"/>
  <c r="AI14" i="18"/>
  <c r="AH14" i="18"/>
  <c r="AG14" i="18"/>
  <c r="AF14" i="18"/>
  <c r="AE14" i="18"/>
  <c r="AD14" i="18"/>
  <c r="AC14" i="18"/>
  <c r="AB14" i="18"/>
  <c r="AA14" i="18"/>
  <c r="Z14" i="18"/>
  <c r="Y14" i="18"/>
  <c r="X14" i="18"/>
  <c r="W14" i="18"/>
  <c r="V14" i="18"/>
  <c r="T14" i="18"/>
  <c r="S14" i="18"/>
  <c r="R14" i="18"/>
  <c r="Q14" i="18"/>
  <c r="P14" i="18"/>
  <c r="O14" i="18"/>
  <c r="N14" i="18"/>
  <c r="M14" i="18"/>
  <c r="L14" i="18"/>
  <c r="K14" i="18"/>
  <c r="J14" i="18"/>
  <c r="I14" i="18"/>
  <c r="EV13" i="18"/>
  <c r="EK13" i="18"/>
  <c r="DZ13" i="18"/>
  <c r="DX13" i="18"/>
  <c r="AV13" i="18"/>
  <c r="AU13" i="18"/>
  <c r="AT13" i="18"/>
  <c r="AS13" i="18"/>
  <c r="AR13" i="18"/>
  <c r="AQ13" i="18"/>
  <c r="AP13" i="18"/>
  <c r="AO13" i="18"/>
  <c r="AN13" i="18"/>
  <c r="AM13" i="18"/>
  <c r="AL13" i="18"/>
  <c r="AK13" i="18"/>
  <c r="AJ13" i="18"/>
  <c r="AI13" i="18"/>
  <c r="AH13" i="18"/>
  <c r="AG13" i="18"/>
  <c r="AF13" i="18"/>
  <c r="AE13" i="18"/>
  <c r="AD13" i="18"/>
  <c r="AC13" i="18"/>
  <c r="AB13" i="18"/>
  <c r="AA13" i="18"/>
  <c r="Z13" i="18"/>
  <c r="Y13" i="18"/>
  <c r="X13" i="18"/>
  <c r="W13" i="18"/>
  <c r="V13" i="18"/>
  <c r="S13" i="18"/>
  <c r="R13" i="18"/>
  <c r="Q13" i="18"/>
  <c r="P13" i="18"/>
  <c r="O13" i="18"/>
  <c r="N13" i="18"/>
  <c r="M13" i="18"/>
  <c r="L13" i="18"/>
  <c r="K13" i="18"/>
  <c r="J13" i="18"/>
  <c r="I13" i="18"/>
  <c r="EZ12" i="18"/>
  <c r="EY12" i="18"/>
  <c r="EU12" i="18"/>
  <c r="DX12" i="18"/>
  <c r="AV12" i="18"/>
  <c r="AU12" i="18"/>
  <c r="AT12" i="18"/>
  <c r="AS12" i="18"/>
  <c r="AR12" i="18"/>
  <c r="AQ12" i="18"/>
  <c r="AP12" i="18"/>
  <c r="AO12" i="18"/>
  <c r="AN12" i="18"/>
  <c r="AM12" i="18"/>
  <c r="AL12" i="18"/>
  <c r="AK12" i="18"/>
  <c r="AJ12" i="18"/>
  <c r="AI12" i="18"/>
  <c r="AH12" i="18"/>
  <c r="AG12" i="18"/>
  <c r="AF12" i="18"/>
  <c r="AE12" i="18"/>
  <c r="AD12" i="18"/>
  <c r="AC12" i="18"/>
  <c r="AB12" i="18"/>
  <c r="AA12" i="18"/>
  <c r="Z12" i="18"/>
  <c r="Y12" i="18"/>
  <c r="X12" i="18"/>
  <c r="W12" i="18"/>
  <c r="V12" i="18"/>
  <c r="T12" i="18"/>
  <c r="S12" i="18"/>
  <c r="R12" i="18"/>
  <c r="Q12" i="18"/>
  <c r="P12" i="18"/>
  <c r="O12" i="18"/>
  <c r="N12" i="18"/>
  <c r="M12" i="18"/>
  <c r="L12" i="18"/>
  <c r="K12" i="18"/>
  <c r="J12" i="18"/>
  <c r="I12" i="18"/>
  <c r="EY11" i="18"/>
  <c r="EA11" i="18"/>
  <c r="DW11" i="18"/>
  <c r="DU11" i="18"/>
  <c r="AV11" i="18"/>
  <c r="AU11" i="18"/>
  <c r="AT11" i="18"/>
  <c r="AS11" i="18"/>
  <c r="AR11" i="18"/>
  <c r="AQ11" i="18"/>
  <c r="AP11" i="18"/>
  <c r="AO11" i="18"/>
  <c r="AN11" i="18"/>
  <c r="AM11" i="18"/>
  <c r="AL11" i="18"/>
  <c r="AK11" i="18"/>
  <c r="AJ11" i="18"/>
  <c r="AI11" i="18"/>
  <c r="AH11" i="18"/>
  <c r="AG11" i="18"/>
  <c r="AF11" i="18"/>
  <c r="AE11" i="18"/>
  <c r="AD11" i="18"/>
  <c r="AC11" i="18"/>
  <c r="AB11" i="18"/>
  <c r="AA11" i="18"/>
  <c r="Z11" i="18"/>
  <c r="Y11" i="18"/>
  <c r="X11" i="18"/>
  <c r="W11" i="18"/>
  <c r="V11" i="18"/>
  <c r="S11" i="18"/>
  <c r="R11" i="18"/>
  <c r="Q11" i="18"/>
  <c r="P11" i="18"/>
  <c r="O11" i="18"/>
  <c r="N11" i="18"/>
  <c r="M11" i="18"/>
  <c r="L11" i="18"/>
  <c r="K11" i="18"/>
  <c r="J11" i="18"/>
  <c r="I11" i="18"/>
  <c r="EZ10" i="18"/>
  <c r="EV10" i="18"/>
  <c r="EU10" i="18"/>
  <c r="DV10" i="18"/>
  <c r="DU10" i="18"/>
  <c r="AV10" i="18"/>
  <c r="AU10" i="18"/>
  <c r="AT10" i="18"/>
  <c r="AS10" i="18"/>
  <c r="AR10" i="18"/>
  <c r="AQ10" i="18"/>
  <c r="AP10" i="18"/>
  <c r="AO10" i="18"/>
  <c r="AN10" i="18"/>
  <c r="AM10" i="18"/>
  <c r="AL10" i="18"/>
  <c r="AK10" i="18"/>
  <c r="AJ10" i="18"/>
  <c r="AI10" i="18"/>
  <c r="AH10" i="18"/>
  <c r="AG10" i="18"/>
  <c r="AF10" i="18"/>
  <c r="AE10" i="18"/>
  <c r="AD10" i="18"/>
  <c r="AC10" i="18"/>
  <c r="AB10" i="18"/>
  <c r="AA10" i="18"/>
  <c r="Z10" i="18"/>
  <c r="Y10" i="18"/>
  <c r="X10" i="18"/>
  <c r="W10" i="18"/>
  <c r="V10" i="18"/>
  <c r="T10" i="18"/>
  <c r="S10" i="18"/>
  <c r="R10" i="18"/>
  <c r="Q10" i="18"/>
  <c r="P10" i="18"/>
  <c r="O10" i="18"/>
  <c r="N10" i="18"/>
  <c r="M10" i="18"/>
  <c r="L10" i="18"/>
  <c r="K10" i="18"/>
  <c r="J10" i="18"/>
  <c r="I10" i="18"/>
  <c r="EY9" i="18"/>
  <c r="EU9" i="18"/>
  <c r="ET9" i="18"/>
  <c r="DX9" i="18"/>
  <c r="DU9" i="18"/>
  <c r="AV9" i="18"/>
  <c r="AU9" i="18"/>
  <c r="AT9" i="18"/>
  <c r="AS9" i="18"/>
  <c r="AR9" i="18"/>
  <c r="AQ9" i="18"/>
  <c r="AP9" i="18"/>
  <c r="AO9" i="18"/>
  <c r="AN9" i="18"/>
  <c r="AM9" i="18"/>
  <c r="AL9" i="18"/>
  <c r="AK9" i="18"/>
  <c r="AJ9" i="18"/>
  <c r="AI9" i="18"/>
  <c r="AH9" i="18"/>
  <c r="AG9" i="18"/>
  <c r="AF9" i="18"/>
  <c r="AE9" i="18"/>
  <c r="AD9" i="18"/>
  <c r="AC9" i="18"/>
  <c r="AB9" i="18"/>
  <c r="AA9" i="18"/>
  <c r="Z9" i="18"/>
  <c r="Y9" i="18"/>
  <c r="X9" i="18"/>
  <c r="W9" i="18"/>
  <c r="V9" i="18"/>
  <c r="S9" i="18"/>
  <c r="R9" i="18"/>
  <c r="Q9" i="18"/>
  <c r="P9" i="18"/>
  <c r="O9" i="18"/>
  <c r="N9" i="18"/>
  <c r="M9" i="18"/>
  <c r="L9" i="18"/>
  <c r="K9" i="18"/>
  <c r="J9" i="18"/>
  <c r="I9" i="18"/>
  <c r="EZ8" i="18"/>
  <c r="EV8" i="18"/>
  <c r="EA8" i="18"/>
  <c r="DW8" i="18"/>
  <c r="DV8" i="18"/>
  <c r="AV8" i="18"/>
  <c r="AU8" i="18"/>
  <c r="AT8" i="18"/>
  <c r="AS8" i="18"/>
  <c r="AR8" i="18"/>
  <c r="AQ8" i="18"/>
  <c r="AP8" i="18"/>
  <c r="AO8" i="18"/>
  <c r="AN8" i="18"/>
  <c r="AM8" i="18"/>
  <c r="AL8" i="18"/>
  <c r="AK8" i="18"/>
  <c r="AJ8" i="18"/>
  <c r="AI8" i="18"/>
  <c r="AH8" i="18"/>
  <c r="AG8" i="18"/>
  <c r="AF8" i="18"/>
  <c r="AE8" i="18"/>
  <c r="AD8" i="18"/>
  <c r="AC8" i="18"/>
  <c r="AB8" i="18"/>
  <c r="AA8" i="18"/>
  <c r="Z8" i="18"/>
  <c r="Y8" i="18"/>
  <c r="X8" i="18"/>
  <c r="W8" i="18"/>
  <c r="V8" i="18"/>
  <c r="T8" i="18"/>
  <c r="S8" i="18"/>
  <c r="R8" i="18"/>
  <c r="Q8" i="18"/>
  <c r="P8" i="18"/>
  <c r="O8" i="18"/>
  <c r="N8" i="18"/>
  <c r="M8" i="18"/>
  <c r="L8" i="18"/>
  <c r="K8" i="18"/>
  <c r="J8" i="18"/>
  <c r="I8" i="18"/>
  <c r="EZ7" i="18"/>
  <c r="EY7" i="18"/>
  <c r="EV7" i="18"/>
  <c r="EU7" i="18"/>
  <c r="DV7" i="18"/>
  <c r="DU7" i="18"/>
  <c r="AV7" i="18"/>
  <c r="AU7" i="18"/>
  <c r="AT7" i="18"/>
  <c r="AS7" i="18"/>
  <c r="AR7" i="18"/>
  <c r="AQ7" i="18"/>
  <c r="AP7" i="18"/>
  <c r="AO7" i="18"/>
  <c r="AN7" i="18"/>
  <c r="AM7" i="18"/>
  <c r="AL7" i="18"/>
  <c r="AK7" i="18"/>
  <c r="AJ7" i="18"/>
  <c r="AI7" i="18"/>
  <c r="AH7" i="18"/>
  <c r="AG7" i="18"/>
  <c r="AF7" i="18"/>
  <c r="AE7" i="18"/>
  <c r="AD7" i="18"/>
  <c r="AC7" i="18"/>
  <c r="AB7" i="18"/>
  <c r="AA7" i="18"/>
  <c r="Z7" i="18"/>
  <c r="Y7" i="18"/>
  <c r="X7" i="18"/>
  <c r="W7" i="18"/>
  <c r="V7" i="18"/>
  <c r="S7" i="18"/>
  <c r="R7" i="18"/>
  <c r="Q7" i="18"/>
  <c r="P7" i="18"/>
  <c r="O7" i="18"/>
  <c r="N7" i="18"/>
  <c r="M7" i="18"/>
  <c r="L7" i="18"/>
  <c r="K7" i="18"/>
  <c r="J7" i="18"/>
  <c r="I7" i="18"/>
  <c r="EX6" i="18"/>
  <c r="EA6" i="18"/>
  <c r="DX6" i="18"/>
  <c r="DW6" i="18"/>
  <c r="AV6" i="18"/>
  <c r="AU6" i="18"/>
  <c r="AT6" i="18"/>
  <c r="AS6" i="18"/>
  <c r="AR6" i="18"/>
  <c r="AQ6" i="18"/>
  <c r="AP6" i="18"/>
  <c r="AO6" i="18"/>
  <c r="AN6" i="18"/>
  <c r="AM6" i="18"/>
  <c r="AL6" i="18"/>
  <c r="AK6" i="18"/>
  <c r="AJ6" i="18"/>
  <c r="AI6" i="18"/>
  <c r="AH6" i="18"/>
  <c r="AG6" i="18"/>
  <c r="AF6" i="18"/>
  <c r="AE6" i="18"/>
  <c r="AD6" i="18"/>
  <c r="AC6" i="18"/>
  <c r="AB6" i="18"/>
  <c r="AA6" i="18"/>
  <c r="Z6" i="18"/>
  <c r="Y6" i="18"/>
  <c r="X6" i="18"/>
  <c r="W6" i="18"/>
  <c r="V6" i="18"/>
  <c r="T6" i="18"/>
  <c r="S6" i="18"/>
  <c r="R6" i="18"/>
  <c r="Q6" i="18"/>
  <c r="P6" i="18"/>
  <c r="O6" i="18"/>
  <c r="N6" i="18"/>
  <c r="M6" i="18"/>
  <c r="L6" i="18"/>
  <c r="K6" i="18"/>
  <c r="J6" i="18"/>
  <c r="I6" i="18"/>
  <c r="EZ5" i="18"/>
  <c r="EV5" i="18"/>
  <c r="EA5" i="18"/>
  <c r="DW5" i="18"/>
  <c r="DV5" i="18"/>
  <c r="AV5" i="18"/>
  <c r="AU5" i="18"/>
  <c r="AT5" i="18"/>
  <c r="AS5" i="18"/>
  <c r="AR5" i="18"/>
  <c r="AQ5" i="18"/>
  <c r="AP5" i="18"/>
  <c r="AO5" i="18"/>
  <c r="AN5" i="18"/>
  <c r="AL5" i="18"/>
  <c r="AK5" i="18"/>
  <c r="AJ5" i="18"/>
  <c r="AI5" i="18"/>
  <c r="AH5" i="18"/>
  <c r="AG5" i="18"/>
  <c r="AF5" i="18"/>
  <c r="AE5" i="18"/>
  <c r="AD5" i="18"/>
  <c r="AC5" i="18"/>
  <c r="AB5" i="18"/>
  <c r="AA5" i="18"/>
  <c r="Z5" i="18"/>
  <c r="Y5" i="18"/>
  <c r="X5" i="18"/>
  <c r="W5" i="18"/>
  <c r="V5" i="18"/>
  <c r="S5" i="18"/>
  <c r="R5" i="18"/>
  <c r="Q5" i="18"/>
  <c r="P5" i="18"/>
  <c r="O5" i="18"/>
  <c r="N5" i="18"/>
  <c r="M5" i="18"/>
  <c r="L5" i="18"/>
  <c r="K5" i="18"/>
  <c r="J5" i="18"/>
  <c r="I5" i="18"/>
  <c r="FI4" i="18"/>
  <c r="FF4" i="18"/>
  <c r="FF9" i="18" s="1"/>
  <c r="FA4" i="18"/>
  <c r="FA14" i="18" s="1"/>
  <c r="EZ4" i="18"/>
  <c r="EZ9" i="18" s="1"/>
  <c r="EY4" i="18"/>
  <c r="EX4" i="18"/>
  <c r="EW4" i="18"/>
  <c r="EV4" i="18"/>
  <c r="EV14" i="18" s="1"/>
  <c r="EU4" i="18"/>
  <c r="ET4" i="18"/>
  <c r="ES4" i="18"/>
  <c r="EP4" i="18"/>
  <c r="EK4" i="18"/>
  <c r="EH4" i="18"/>
  <c r="EC4" i="18"/>
  <c r="EC19" i="18" s="1"/>
  <c r="EA4" i="18"/>
  <c r="DZ4" i="18"/>
  <c r="DZ8" i="18" s="1"/>
  <c r="DY4" i="18"/>
  <c r="DX4" i="18"/>
  <c r="DX11" i="18" s="1"/>
  <c r="DW4" i="18"/>
  <c r="DV4" i="18"/>
  <c r="DV12" i="18" s="1"/>
  <c r="DU4" i="18"/>
  <c r="DR4" i="18"/>
  <c r="DR8" i="18" s="1"/>
  <c r="DQ4" i="18"/>
  <c r="I42" i="15"/>
  <c r="H42" i="15"/>
  <c r="A42" i="15"/>
  <c r="I41" i="15"/>
  <c r="H41" i="15"/>
  <c r="A41" i="15"/>
  <c r="I40" i="15"/>
  <c r="H40" i="15"/>
  <c r="A40" i="15"/>
  <c r="I39" i="15"/>
  <c r="H39" i="15"/>
  <c r="Q39" i="15" s="1"/>
  <c r="A39" i="15"/>
  <c r="I38" i="15"/>
  <c r="H38" i="15"/>
  <c r="Q38" i="15" s="1"/>
  <c r="A38" i="15"/>
  <c r="I37" i="15"/>
  <c r="H37" i="15"/>
  <c r="R37" i="15" s="1"/>
  <c r="A37" i="15"/>
  <c r="I36" i="15"/>
  <c r="H36" i="15"/>
  <c r="R36" i="15" s="1"/>
  <c r="A36" i="15"/>
  <c r="I35" i="15"/>
  <c r="H35" i="15"/>
  <c r="A35" i="15"/>
  <c r="I34" i="15"/>
  <c r="H34" i="15"/>
  <c r="A34" i="15"/>
  <c r="I33" i="15"/>
  <c r="H33" i="15"/>
  <c r="S33" i="15" s="1"/>
  <c r="A33" i="15"/>
  <c r="I32" i="15"/>
  <c r="H32" i="15"/>
  <c r="A32" i="15"/>
  <c r="I31" i="15"/>
  <c r="H31" i="15"/>
  <c r="Q31" i="15" s="1"/>
  <c r="A31" i="15"/>
  <c r="I30" i="15"/>
  <c r="H30" i="15"/>
  <c r="A30" i="15"/>
  <c r="I28" i="15"/>
  <c r="H28" i="15"/>
  <c r="A28" i="15"/>
  <c r="I27" i="15"/>
  <c r="H27" i="15"/>
  <c r="S27" i="15" s="1"/>
  <c r="A27" i="15"/>
  <c r="I26" i="15"/>
  <c r="H26" i="15"/>
  <c r="N26" i="15" s="1"/>
  <c r="A26" i="15"/>
  <c r="I25" i="15"/>
  <c r="H25" i="15"/>
  <c r="A25" i="15"/>
  <c r="I24" i="15"/>
  <c r="H24" i="15"/>
  <c r="A24" i="15"/>
  <c r="I23" i="15"/>
  <c r="H23" i="15"/>
  <c r="A23" i="15"/>
  <c r="I22" i="15"/>
  <c r="H22" i="15"/>
  <c r="O22" i="15" s="1"/>
  <c r="A22" i="15"/>
  <c r="I21" i="15"/>
  <c r="H21" i="15"/>
  <c r="M21" i="15" s="1"/>
  <c r="A21" i="15"/>
  <c r="I20" i="15"/>
  <c r="H20" i="15"/>
  <c r="A20" i="15"/>
  <c r="I19" i="15"/>
  <c r="H19" i="15"/>
  <c r="J19" i="15" s="1"/>
  <c r="A19" i="15"/>
  <c r="I18" i="15"/>
  <c r="H18" i="15"/>
  <c r="N18" i="15" s="1"/>
  <c r="A18" i="15"/>
  <c r="I17" i="15"/>
  <c r="H17" i="15"/>
  <c r="L17" i="15" s="1"/>
  <c r="A17" i="15"/>
  <c r="I16" i="15"/>
  <c r="H16" i="15"/>
  <c r="O16" i="15" s="1"/>
  <c r="A16" i="15"/>
  <c r="I15" i="15"/>
  <c r="H15" i="15"/>
  <c r="P15" i="15" s="1"/>
  <c r="A15" i="15"/>
  <c r="I14" i="15"/>
  <c r="H14" i="15"/>
  <c r="O14" i="15" s="1"/>
  <c r="A14" i="15"/>
  <c r="I13" i="15"/>
  <c r="H13" i="15"/>
  <c r="A13" i="15"/>
  <c r="I12" i="15"/>
  <c r="H12" i="15"/>
  <c r="L12" i="15" s="1"/>
  <c r="A12" i="15"/>
  <c r="I11" i="15"/>
  <c r="H11" i="15"/>
  <c r="O11" i="15" s="1"/>
  <c r="A11" i="15"/>
  <c r="I10" i="15"/>
  <c r="H10" i="15"/>
  <c r="O10" i="15" s="1"/>
  <c r="A10" i="15"/>
  <c r="I9" i="15"/>
  <c r="H9" i="15"/>
  <c r="N9" i="15" s="1"/>
  <c r="A9" i="15"/>
  <c r="I89" i="14"/>
  <c r="K89" i="14" s="1"/>
  <c r="H89" i="14"/>
  <c r="J89" i="14" s="1"/>
  <c r="B89" i="14"/>
  <c r="A89" i="14"/>
  <c r="I88" i="14"/>
  <c r="K88" i="14" s="1"/>
  <c r="H88" i="14"/>
  <c r="J88" i="14" s="1"/>
  <c r="B88" i="14"/>
  <c r="A88" i="14"/>
  <c r="I87" i="14"/>
  <c r="K87" i="14" s="1"/>
  <c r="H87" i="14"/>
  <c r="J87" i="14" s="1"/>
  <c r="B87" i="14"/>
  <c r="A87" i="14"/>
  <c r="I86" i="14"/>
  <c r="K86" i="14" s="1"/>
  <c r="H86" i="14"/>
  <c r="J86" i="14" s="1"/>
  <c r="B86" i="14"/>
  <c r="A86" i="14"/>
  <c r="I85" i="14"/>
  <c r="K85" i="14" s="1"/>
  <c r="H85" i="14"/>
  <c r="J85" i="14" s="1"/>
  <c r="B85" i="14"/>
  <c r="A85" i="14"/>
  <c r="I84" i="14"/>
  <c r="K84" i="14" s="1"/>
  <c r="H84" i="14"/>
  <c r="J84" i="14" s="1"/>
  <c r="B84" i="14"/>
  <c r="A84" i="14"/>
  <c r="I83" i="14"/>
  <c r="K83" i="14" s="1"/>
  <c r="H83" i="14"/>
  <c r="J83" i="14" s="1"/>
  <c r="B83" i="14"/>
  <c r="A83" i="14"/>
  <c r="I82" i="14"/>
  <c r="K82" i="14" s="1"/>
  <c r="H82" i="14"/>
  <c r="J82" i="14" s="1"/>
  <c r="B82" i="14"/>
  <c r="A82" i="14"/>
  <c r="I81" i="14"/>
  <c r="K81" i="14" s="1"/>
  <c r="H81" i="14"/>
  <c r="J81" i="14" s="1"/>
  <c r="B81" i="14"/>
  <c r="A81" i="14"/>
  <c r="I80" i="14"/>
  <c r="K80" i="14" s="1"/>
  <c r="H80" i="14"/>
  <c r="J80" i="14" s="1"/>
  <c r="B80" i="14"/>
  <c r="A80" i="14"/>
  <c r="I79" i="14"/>
  <c r="K79" i="14" s="1"/>
  <c r="H79" i="14"/>
  <c r="J79" i="14" s="1"/>
  <c r="B79" i="14"/>
  <c r="A79" i="14"/>
  <c r="I77" i="14"/>
  <c r="K77" i="14" s="1"/>
  <c r="H77" i="14"/>
  <c r="J77" i="14" s="1"/>
  <c r="B77" i="14"/>
  <c r="A77" i="14"/>
  <c r="I76" i="14"/>
  <c r="K76" i="14" s="1"/>
  <c r="H76" i="14"/>
  <c r="J76" i="14" s="1"/>
  <c r="B76" i="14"/>
  <c r="A76" i="14"/>
  <c r="I75" i="14"/>
  <c r="K75" i="14" s="1"/>
  <c r="H75" i="14"/>
  <c r="J75" i="14" s="1"/>
  <c r="B75" i="14"/>
  <c r="A75" i="14"/>
  <c r="I74" i="14"/>
  <c r="K74" i="14" s="1"/>
  <c r="H74" i="14"/>
  <c r="J74" i="14" s="1"/>
  <c r="B74" i="14"/>
  <c r="A74" i="14"/>
  <c r="I73" i="14"/>
  <c r="K73" i="14" s="1"/>
  <c r="H73" i="14"/>
  <c r="J73" i="14" s="1"/>
  <c r="B73" i="14"/>
  <c r="A73" i="14"/>
  <c r="I72" i="14"/>
  <c r="K72" i="14" s="1"/>
  <c r="H72" i="14"/>
  <c r="J72" i="14" s="1"/>
  <c r="B72" i="14"/>
  <c r="A72" i="14"/>
  <c r="I71" i="14"/>
  <c r="K71" i="14" s="1"/>
  <c r="H71" i="14"/>
  <c r="J71" i="14" s="1"/>
  <c r="B71" i="14"/>
  <c r="A71" i="14"/>
  <c r="I70" i="14"/>
  <c r="K70" i="14" s="1"/>
  <c r="H70" i="14"/>
  <c r="J70" i="14" s="1"/>
  <c r="B70" i="14"/>
  <c r="A70" i="14"/>
  <c r="I69" i="14"/>
  <c r="K69" i="14" s="1"/>
  <c r="H69" i="14"/>
  <c r="J69" i="14" s="1"/>
  <c r="B69" i="14"/>
  <c r="A69" i="14"/>
  <c r="I68" i="14"/>
  <c r="K68" i="14" s="1"/>
  <c r="H68" i="14"/>
  <c r="J68" i="14" s="1"/>
  <c r="B68" i="14"/>
  <c r="A68" i="14"/>
  <c r="I67" i="14"/>
  <c r="K67" i="14" s="1"/>
  <c r="H67" i="14"/>
  <c r="J67" i="14" s="1"/>
  <c r="B67" i="14"/>
  <c r="A67" i="14"/>
  <c r="I66" i="14"/>
  <c r="K66" i="14" s="1"/>
  <c r="H66" i="14"/>
  <c r="J66" i="14" s="1"/>
  <c r="B66" i="14"/>
  <c r="A66" i="14"/>
  <c r="I65" i="14"/>
  <c r="K65" i="14" s="1"/>
  <c r="H65" i="14"/>
  <c r="J65" i="14" s="1"/>
  <c r="B65" i="14"/>
  <c r="A65" i="14"/>
  <c r="I64" i="14"/>
  <c r="K64" i="14" s="1"/>
  <c r="H64" i="14"/>
  <c r="J64" i="14" s="1"/>
  <c r="B64" i="14"/>
  <c r="A64" i="14"/>
  <c r="K61" i="14"/>
  <c r="I61" i="14"/>
  <c r="H61" i="14"/>
  <c r="J61" i="14" s="1"/>
  <c r="B61" i="14"/>
  <c r="A61" i="14"/>
  <c r="I60" i="14"/>
  <c r="K60" i="14" s="1"/>
  <c r="H60" i="14"/>
  <c r="B60" i="14"/>
  <c r="A60" i="14"/>
  <c r="I59" i="14"/>
  <c r="K59" i="14" s="1"/>
  <c r="H59" i="14"/>
  <c r="J59" i="14" s="1"/>
  <c r="B59" i="14"/>
  <c r="A59" i="14"/>
  <c r="I58" i="14"/>
  <c r="K58" i="14" s="1"/>
  <c r="H58" i="14"/>
  <c r="J58" i="14" s="1"/>
  <c r="B58" i="14"/>
  <c r="A58" i="14"/>
  <c r="I57" i="14"/>
  <c r="K57" i="14" s="1"/>
  <c r="H57" i="14"/>
  <c r="J57" i="14" s="1"/>
  <c r="B57" i="14"/>
  <c r="A57" i="14"/>
  <c r="I56" i="14"/>
  <c r="K56" i="14" s="1"/>
  <c r="H56" i="14"/>
  <c r="J56" i="14" s="1"/>
  <c r="B56" i="14"/>
  <c r="A56" i="14"/>
  <c r="I55" i="14"/>
  <c r="K55" i="14" s="1"/>
  <c r="H55" i="14"/>
  <c r="J55" i="14" s="1"/>
  <c r="B55" i="14"/>
  <c r="A55" i="14"/>
  <c r="I54" i="14"/>
  <c r="K54" i="14" s="1"/>
  <c r="H54" i="14"/>
  <c r="J54" i="14" s="1"/>
  <c r="B54" i="14"/>
  <c r="A54" i="14"/>
  <c r="I53" i="14"/>
  <c r="K53" i="14" s="1"/>
  <c r="H53" i="14"/>
  <c r="J53" i="14" s="1"/>
  <c r="B53" i="14"/>
  <c r="A53" i="14"/>
  <c r="I52" i="14"/>
  <c r="K52" i="14" s="1"/>
  <c r="H52" i="14"/>
  <c r="J52" i="14" s="1"/>
  <c r="B52" i="14"/>
  <c r="A52" i="14"/>
  <c r="I51" i="14"/>
  <c r="K51" i="14" s="1"/>
  <c r="H51" i="14"/>
  <c r="J51" i="14" s="1"/>
  <c r="B51" i="14"/>
  <c r="A51" i="14"/>
  <c r="I50" i="14"/>
  <c r="K50" i="14" s="1"/>
  <c r="H50" i="14"/>
  <c r="J50" i="14" s="1"/>
  <c r="B50" i="14"/>
  <c r="A50" i="14"/>
  <c r="I49" i="14"/>
  <c r="K49" i="14" s="1"/>
  <c r="H49" i="14"/>
  <c r="J49" i="14" s="1"/>
  <c r="B49" i="14"/>
  <c r="A49" i="14"/>
  <c r="I48" i="14"/>
  <c r="K48" i="14" s="1"/>
  <c r="H48" i="14"/>
  <c r="J48" i="14" s="1"/>
  <c r="B48" i="14"/>
  <c r="A48" i="14"/>
  <c r="I47" i="14"/>
  <c r="K47" i="14" s="1"/>
  <c r="H47" i="14"/>
  <c r="J47" i="14" s="1"/>
  <c r="B47" i="14"/>
  <c r="A47" i="14"/>
  <c r="I46" i="14"/>
  <c r="K46" i="14" s="1"/>
  <c r="H46" i="14"/>
  <c r="J46" i="14" s="1"/>
  <c r="B46" i="14"/>
  <c r="A46" i="14"/>
  <c r="I45" i="14"/>
  <c r="K45" i="14" s="1"/>
  <c r="H45" i="14"/>
  <c r="J45" i="14" s="1"/>
  <c r="B45" i="14"/>
  <c r="A45" i="14"/>
  <c r="I44" i="14"/>
  <c r="K44" i="14" s="1"/>
  <c r="H44" i="14"/>
  <c r="J44" i="14" s="1"/>
  <c r="B44" i="14"/>
  <c r="A44" i="14"/>
  <c r="I43" i="14"/>
  <c r="K43" i="14" s="1"/>
  <c r="H43" i="14"/>
  <c r="J43" i="14" s="1"/>
  <c r="B43" i="14"/>
  <c r="A43" i="14"/>
  <c r="I42" i="14"/>
  <c r="K42" i="14" s="1"/>
  <c r="H42" i="14"/>
  <c r="J42" i="14" s="1"/>
  <c r="B42" i="14"/>
  <c r="A42" i="14"/>
  <c r="I41" i="14"/>
  <c r="K41" i="14" s="1"/>
  <c r="H41" i="14"/>
  <c r="J41" i="14" s="1"/>
  <c r="B41" i="14"/>
  <c r="A41" i="14"/>
  <c r="I40" i="14"/>
  <c r="K40" i="14" s="1"/>
  <c r="H40" i="14"/>
  <c r="J40" i="14" s="1"/>
  <c r="B40" i="14"/>
  <c r="A40" i="14"/>
  <c r="I39" i="14"/>
  <c r="K39" i="14" s="1"/>
  <c r="H39" i="14"/>
  <c r="J39" i="14" s="1"/>
  <c r="B39" i="14"/>
  <c r="A39" i="14"/>
  <c r="I38" i="14"/>
  <c r="K38" i="14" s="1"/>
  <c r="H38" i="14"/>
  <c r="J38" i="14" s="1"/>
  <c r="B38" i="14"/>
  <c r="A38" i="14"/>
  <c r="I37" i="14"/>
  <c r="K37" i="14" s="1"/>
  <c r="H37" i="14"/>
  <c r="J37" i="14" s="1"/>
  <c r="B37" i="14"/>
  <c r="A37" i="14"/>
  <c r="I36" i="14"/>
  <c r="K36" i="14" s="1"/>
  <c r="H36" i="14"/>
  <c r="J36" i="14" s="1"/>
  <c r="B36" i="14"/>
  <c r="A36" i="14"/>
  <c r="I35" i="14"/>
  <c r="K35" i="14" s="1"/>
  <c r="H35" i="14"/>
  <c r="J35" i="14" s="1"/>
  <c r="B35" i="14"/>
  <c r="A35" i="14"/>
  <c r="I34" i="14"/>
  <c r="K34" i="14" s="1"/>
  <c r="H34" i="14"/>
  <c r="J34" i="14" s="1"/>
  <c r="B34" i="14"/>
  <c r="A34" i="14"/>
  <c r="I33" i="14"/>
  <c r="K33" i="14" s="1"/>
  <c r="H33" i="14"/>
  <c r="J33" i="14" s="1"/>
  <c r="B33" i="14"/>
  <c r="A33" i="14"/>
  <c r="I32" i="14"/>
  <c r="K32" i="14" s="1"/>
  <c r="H32" i="14"/>
  <c r="J32" i="14" s="1"/>
  <c r="B32" i="14"/>
  <c r="A32" i="14"/>
  <c r="I31" i="14"/>
  <c r="K31" i="14" s="1"/>
  <c r="H31" i="14"/>
  <c r="J31" i="14" s="1"/>
  <c r="B31" i="14"/>
  <c r="A31" i="14"/>
  <c r="I30" i="14"/>
  <c r="K30" i="14" s="1"/>
  <c r="H30" i="14"/>
  <c r="J30" i="14" s="1"/>
  <c r="B30" i="14"/>
  <c r="A30" i="14"/>
  <c r="I29" i="14"/>
  <c r="K29" i="14" s="1"/>
  <c r="H29" i="14"/>
  <c r="J29" i="14" s="1"/>
  <c r="B29" i="14"/>
  <c r="A29" i="14"/>
  <c r="I28" i="14"/>
  <c r="K28" i="14" s="1"/>
  <c r="H28" i="14"/>
  <c r="J28" i="14" s="1"/>
  <c r="B28" i="14"/>
  <c r="A28" i="14"/>
  <c r="J77" i="21"/>
  <c r="I77" i="21"/>
  <c r="B77" i="21"/>
  <c r="J76" i="21"/>
  <c r="I76" i="21"/>
  <c r="B76" i="21"/>
  <c r="J75" i="21"/>
  <c r="I75" i="21"/>
  <c r="B75" i="21"/>
  <c r="J74" i="21"/>
  <c r="I74" i="21"/>
  <c r="B74" i="21"/>
  <c r="J73" i="21"/>
  <c r="I73" i="21"/>
  <c r="B73" i="21"/>
  <c r="J72" i="21"/>
  <c r="I72" i="21"/>
  <c r="B72" i="21"/>
  <c r="J71" i="21"/>
  <c r="I71" i="21"/>
  <c r="B71" i="21"/>
  <c r="J70" i="21"/>
  <c r="I70" i="21"/>
  <c r="B70" i="21"/>
  <c r="J69" i="21"/>
  <c r="I69" i="21"/>
  <c r="B69" i="21"/>
  <c r="J68" i="21"/>
  <c r="I68" i="21"/>
  <c r="B68" i="21"/>
  <c r="J67" i="21"/>
  <c r="I67" i="21"/>
  <c r="B67" i="21"/>
  <c r="J66" i="21"/>
  <c r="I66" i="21"/>
  <c r="B66" i="21"/>
  <c r="J65" i="21"/>
  <c r="I65" i="21"/>
  <c r="B65" i="21"/>
  <c r="J64" i="21"/>
  <c r="I64" i="21"/>
  <c r="B64" i="21"/>
  <c r="J63" i="21"/>
  <c r="I63" i="21"/>
  <c r="B63" i="21"/>
  <c r="J62" i="21"/>
  <c r="I62" i="21"/>
  <c r="B62" i="21"/>
  <c r="J61" i="21"/>
  <c r="I61" i="21"/>
  <c r="B61" i="21"/>
  <c r="J60" i="21"/>
  <c r="I60" i="21"/>
  <c r="B60" i="21"/>
  <c r="J59" i="21"/>
  <c r="I59" i="21"/>
  <c r="B59" i="21"/>
  <c r="J58" i="21"/>
  <c r="I58" i="21"/>
  <c r="B58" i="21"/>
  <c r="J57" i="21"/>
  <c r="I57" i="21"/>
  <c r="B57" i="21"/>
  <c r="J56" i="21"/>
  <c r="I56" i="21"/>
  <c r="B56" i="21"/>
  <c r="J55" i="21"/>
  <c r="I55" i="21"/>
  <c r="B55" i="21"/>
  <c r="J54" i="21"/>
  <c r="I54" i="21"/>
  <c r="B54" i="21"/>
  <c r="J53" i="21"/>
  <c r="I53" i="21"/>
  <c r="B53" i="21"/>
  <c r="J52" i="21"/>
  <c r="I52" i="21"/>
  <c r="B52" i="21"/>
  <c r="J51" i="21"/>
  <c r="I51" i="21"/>
  <c r="B51" i="21"/>
  <c r="J50" i="21"/>
  <c r="I50" i="21"/>
  <c r="B50" i="21"/>
  <c r="J49" i="21"/>
  <c r="I49" i="21"/>
  <c r="B49" i="21"/>
  <c r="J48" i="21"/>
  <c r="I48" i="21"/>
  <c r="B48" i="21"/>
  <c r="J47" i="21"/>
  <c r="I47" i="21"/>
  <c r="B47" i="21"/>
  <c r="J46" i="21"/>
  <c r="I46" i="21"/>
  <c r="B46" i="21"/>
  <c r="J45" i="21"/>
  <c r="I45" i="21"/>
  <c r="B45" i="21"/>
  <c r="J44" i="21"/>
  <c r="I44" i="21"/>
  <c r="B44" i="21"/>
  <c r="J43" i="21"/>
  <c r="I43" i="21"/>
  <c r="B43" i="21"/>
  <c r="I42" i="21"/>
  <c r="B42" i="21"/>
  <c r="I41" i="21"/>
  <c r="B41" i="21"/>
  <c r="FJ4" i="18" s="1"/>
  <c r="J40" i="21"/>
  <c r="I40" i="21"/>
  <c r="B40" i="21"/>
  <c r="J39" i="21"/>
  <c r="I39" i="21"/>
  <c r="B39" i="21"/>
  <c r="J38" i="21"/>
  <c r="I38" i="21"/>
  <c r="B38" i="21"/>
  <c r="J37" i="21"/>
  <c r="I37" i="21"/>
  <c r="B37" i="21"/>
  <c r="J36" i="21"/>
  <c r="I36" i="21"/>
  <c r="B36" i="21"/>
  <c r="J35" i="21"/>
  <c r="I35" i="21"/>
  <c r="B35" i="21"/>
  <c r="J34" i="21"/>
  <c r="I34" i="21"/>
  <c r="B34" i="21"/>
  <c r="H28" i="21"/>
  <c r="F28" i="21"/>
  <c r="B28" i="21"/>
  <c r="H27" i="21"/>
  <c r="F27" i="21"/>
  <c r="B27" i="21"/>
  <c r="H26" i="21"/>
  <c r="B26" i="21"/>
  <c r="H25" i="21"/>
  <c r="F25" i="21"/>
  <c r="B25" i="21"/>
  <c r="H24" i="21"/>
  <c r="F24" i="21"/>
  <c r="B24" i="21"/>
  <c r="H23" i="21"/>
  <c r="B23" i="21"/>
  <c r="H22" i="21"/>
  <c r="F22" i="21"/>
  <c r="B22" i="21"/>
  <c r="H21" i="21"/>
  <c r="F21" i="21"/>
  <c r="B21" i="21"/>
  <c r="H20" i="21"/>
  <c r="B20" i="21"/>
  <c r="H19" i="21"/>
  <c r="F19" i="21"/>
  <c r="B19" i="21"/>
  <c r="H18" i="21"/>
  <c r="F18" i="21"/>
  <c r="B18" i="21"/>
  <c r="H17" i="21"/>
  <c r="B17" i="21"/>
  <c r="H16" i="21"/>
  <c r="F16" i="21"/>
  <c r="B16" i="21"/>
  <c r="H15" i="21"/>
  <c r="F15" i="21"/>
  <c r="B15" i="21"/>
  <c r="H14" i="21"/>
  <c r="B14" i="21"/>
  <c r="H13" i="21"/>
  <c r="F13" i="21"/>
  <c r="B13" i="21"/>
  <c r="H12" i="21"/>
  <c r="F12" i="21"/>
  <c r="B12" i="21"/>
  <c r="H11" i="21"/>
  <c r="F11" i="21"/>
  <c r="B11" i="21"/>
  <c r="H10" i="21"/>
  <c r="F10" i="21"/>
  <c r="B10" i="21"/>
  <c r="H9" i="21"/>
  <c r="F9" i="21"/>
  <c r="B9" i="21"/>
  <c r="H8" i="21"/>
  <c r="F8" i="21"/>
  <c r="B8" i="21"/>
  <c r="H7" i="21"/>
  <c r="F7" i="21"/>
  <c r="B7" i="21"/>
  <c r="H6" i="21"/>
  <c r="F6" i="21"/>
  <c r="B6" i="21"/>
  <c r="H5" i="21"/>
  <c r="F5" i="21"/>
  <c r="B5" i="21"/>
  <c r="N9" i="13"/>
  <c r="U20" i="18" s="1"/>
  <c r="M9" i="13"/>
  <c r="A9" i="13"/>
  <c r="M8" i="13"/>
  <c r="T19" i="18" s="1"/>
  <c r="A8" i="13"/>
  <c r="N7" i="13"/>
  <c r="U18" i="18" s="1"/>
  <c r="M7" i="13"/>
  <c r="A7" i="13"/>
  <c r="M6" i="13"/>
  <c r="N6" i="13" s="1"/>
  <c r="A6" i="13"/>
  <c r="N5" i="13"/>
  <c r="U12" i="18" s="1"/>
  <c r="M5" i="13"/>
  <c r="A5" i="13"/>
  <c r="M4" i="13"/>
  <c r="T11" i="18" s="1"/>
  <c r="A4" i="13"/>
  <c r="N3" i="13"/>
  <c r="U10" i="18" s="1"/>
  <c r="M3" i="13"/>
  <c r="A3" i="13"/>
  <c r="M2" i="13"/>
  <c r="N2" i="13" s="1"/>
  <c r="A2" i="13"/>
  <c r="E38" i="10"/>
  <c r="E37" i="10"/>
  <c r="E35" i="10"/>
  <c r="E34" i="10"/>
  <c r="E33" i="10"/>
  <c r="E32" i="10"/>
  <c r="E30" i="10"/>
  <c r="E29" i="10"/>
  <c r="E23" i="10"/>
  <c r="E36" i="10" s="1"/>
  <c r="A16" i="10"/>
  <c r="G16" i="10" s="1"/>
  <c r="A15" i="10"/>
  <c r="G15" i="10" s="1"/>
  <c r="A14" i="10"/>
  <c r="G14" i="10" s="1"/>
  <c r="J13" i="10"/>
  <c r="I13" i="10"/>
  <c r="H13" i="10"/>
  <c r="F16" i="10"/>
  <c r="A13" i="10"/>
  <c r="G13" i="10" s="1"/>
  <c r="J12" i="10"/>
  <c r="I12" i="10"/>
  <c r="H12" i="10"/>
  <c r="F12" i="10"/>
  <c r="A12" i="10"/>
  <c r="G12" i="10" s="1"/>
  <c r="J11" i="10"/>
  <c r="I11" i="10"/>
  <c r="H11" i="10"/>
  <c r="F11" i="10"/>
  <c r="A11" i="10"/>
  <c r="G11" i="10" s="1"/>
  <c r="A10" i="10"/>
  <c r="G10" i="10" s="1"/>
  <c r="F9" i="10"/>
  <c r="A9" i="10"/>
  <c r="G9" i="10" s="1"/>
  <c r="A8" i="10"/>
  <c r="G8" i="10" s="1"/>
  <c r="F7" i="10"/>
  <c r="A7" i="10"/>
  <c r="G7" i="10" s="1"/>
  <c r="F6" i="10"/>
  <c r="A6" i="10"/>
  <c r="G6" i="10" s="1"/>
  <c r="A5" i="10"/>
  <c r="G5" i="10" s="1"/>
  <c r="B13" i="24"/>
  <c r="B12" i="24"/>
  <c r="B11" i="24"/>
  <c r="B10" i="24"/>
  <c r="B9" i="24"/>
  <c r="B8" i="24"/>
  <c r="B7" i="24"/>
  <c r="B6" i="24"/>
  <c r="B5" i="24"/>
  <c r="B4" i="24"/>
  <c r="B175" i="3"/>
  <c r="B174" i="3"/>
  <c r="B173" i="3"/>
  <c r="B172" i="3"/>
  <c r="B171" i="3"/>
  <c r="B170" i="3"/>
  <c r="B169" i="3"/>
  <c r="B168" i="3"/>
  <c r="B167" i="3"/>
  <c r="B166" i="3"/>
  <c r="B165" i="3"/>
  <c r="B164" i="3"/>
  <c r="B163" i="3"/>
  <c r="B162" i="3"/>
  <c r="B161" i="3"/>
  <c r="B160" i="3"/>
  <c r="B159" i="3"/>
  <c r="B158" i="3"/>
  <c r="B157" i="3"/>
  <c r="B156" i="3"/>
  <c r="B155" i="3"/>
  <c r="B154" i="3"/>
  <c r="B153" i="3"/>
  <c r="B152" i="3"/>
  <c r="B151" i="3"/>
  <c r="B150" i="3"/>
  <c r="B149" i="3"/>
  <c r="B148" i="3"/>
  <c r="B147" i="3"/>
  <c r="B146" i="3"/>
  <c r="B145" i="3"/>
  <c r="B144" i="3"/>
  <c r="B143" i="3"/>
  <c r="B142" i="3"/>
  <c r="B141" i="3"/>
  <c r="B140" i="3"/>
  <c r="B139" i="3"/>
  <c r="B138" i="3"/>
  <c r="B137" i="3"/>
  <c r="B136" i="3"/>
  <c r="B135" i="3"/>
  <c r="B134" i="3"/>
  <c r="B133" i="3"/>
  <c r="B132" i="3"/>
  <c r="B131" i="3"/>
  <c r="B130" i="3"/>
  <c r="B129" i="3"/>
  <c r="B128" i="3"/>
  <c r="B127" i="3"/>
  <c r="B126" i="3"/>
  <c r="B125" i="3"/>
  <c r="B124" i="3"/>
  <c r="B123" i="3"/>
  <c r="B122" i="3"/>
  <c r="B121" i="3"/>
  <c r="B120" i="3"/>
  <c r="B119" i="3"/>
  <c r="B118" i="3"/>
  <c r="B114" i="3"/>
  <c r="B113" i="3"/>
  <c r="B112" i="3"/>
  <c r="B111" i="3"/>
  <c r="B110" i="3"/>
  <c r="B109" i="3"/>
  <c r="B108" i="3"/>
  <c r="B107" i="3"/>
  <c r="B106" i="3"/>
  <c r="B105" i="3"/>
  <c r="B104" i="3"/>
  <c r="B103" i="3"/>
  <c r="B102" i="3"/>
  <c r="B101" i="3"/>
  <c r="B100" i="3"/>
  <c r="B99" i="3"/>
  <c r="B98" i="3"/>
  <c r="B97" i="3"/>
  <c r="B96" i="3"/>
  <c r="B95" i="3"/>
  <c r="B94" i="3"/>
  <c r="B93" i="3"/>
  <c r="B92" i="3"/>
  <c r="B91" i="3"/>
  <c r="B90" i="3"/>
  <c r="B89" i="3"/>
  <c r="B88" i="3"/>
  <c r="B87" i="3"/>
  <c r="B86" i="3"/>
  <c r="B85" i="3"/>
  <c r="B84" i="3"/>
  <c r="B83" i="3"/>
  <c r="B82" i="3"/>
  <c r="B81" i="3"/>
  <c r="B80" i="3"/>
  <c r="B79" i="3"/>
  <c r="B78" i="3"/>
  <c r="B77" i="3"/>
  <c r="B76" i="3"/>
  <c r="B75" i="3"/>
  <c r="B74" i="3"/>
  <c r="B73" i="3"/>
  <c r="B51" i="3"/>
  <c r="B50" i="3"/>
  <c r="B49" i="3"/>
  <c r="B48" i="3"/>
  <c r="B47" i="3"/>
  <c r="B46" i="3"/>
  <c r="B45" i="3"/>
  <c r="B43" i="3"/>
  <c r="B42" i="3"/>
  <c r="B41" i="3"/>
  <c r="B40" i="3"/>
  <c r="B39" i="3"/>
  <c r="B38" i="3"/>
  <c r="B35" i="3"/>
  <c r="B34" i="3"/>
  <c r="B33" i="3"/>
  <c r="B32" i="3"/>
  <c r="B31" i="3"/>
  <c r="B30" i="3"/>
  <c r="B29" i="3"/>
  <c r="B28" i="3"/>
  <c r="B27" i="3"/>
  <c r="B26" i="3"/>
  <c r="B25" i="3"/>
  <c r="B24" i="3"/>
  <c r="B23" i="3"/>
  <c r="B22" i="3"/>
  <c r="B21" i="3"/>
  <c r="B20" i="3"/>
  <c r="B19" i="3"/>
  <c r="B18" i="3"/>
  <c r="A31" i="2"/>
  <c r="A30" i="2"/>
  <c r="A29" i="2"/>
  <c r="A28" i="2"/>
  <c r="A27" i="2"/>
  <c r="A26" i="2"/>
  <c r="A25" i="2"/>
  <c r="A24" i="2"/>
  <c r="A23" i="2"/>
  <c r="A22" i="2"/>
  <c r="A21" i="2"/>
  <c r="A20" i="2"/>
  <c r="FA13" i="18" l="1"/>
  <c r="FJ16" i="18"/>
  <c r="FJ13" i="18"/>
  <c r="FJ19" i="18"/>
  <c r="FJ14" i="18"/>
  <c r="FJ20" i="18"/>
  <c r="FJ17" i="18"/>
  <c r="FJ10" i="18"/>
  <c r="FJ7" i="18"/>
  <c r="FJ15" i="18"/>
  <c r="FJ8" i="18"/>
  <c r="FJ5" i="18"/>
  <c r="FJ12" i="18"/>
  <c r="FJ9" i="18"/>
  <c r="FJ18" i="18"/>
  <c r="FJ6" i="18"/>
  <c r="FJ11" i="18"/>
  <c r="DQ19" i="18"/>
  <c r="DQ14" i="18"/>
  <c r="DQ20" i="18"/>
  <c r="DQ17" i="18"/>
  <c r="DQ16" i="18"/>
  <c r="DQ13" i="18"/>
  <c r="DQ8" i="18"/>
  <c r="DQ5" i="18"/>
  <c r="DQ15" i="18"/>
  <c r="DQ6" i="18"/>
  <c r="EH16" i="18"/>
  <c r="EH19" i="18"/>
  <c r="EH14" i="18"/>
  <c r="EH18" i="18"/>
  <c r="EH15" i="18"/>
  <c r="EH10" i="18"/>
  <c r="EH12" i="18"/>
  <c r="EH7" i="18"/>
  <c r="EH17" i="18"/>
  <c r="EH13" i="18"/>
  <c r="EH8" i="18"/>
  <c r="EH5" i="18"/>
  <c r="EP16" i="18"/>
  <c r="EP19" i="18"/>
  <c r="EP14" i="18"/>
  <c r="EP18" i="18"/>
  <c r="EP15" i="18"/>
  <c r="EP10" i="18"/>
  <c r="EP20" i="18"/>
  <c r="EP7" i="18"/>
  <c r="EP11" i="18"/>
  <c r="EP8" i="18"/>
  <c r="EP5" i="18"/>
  <c r="EP17" i="18"/>
  <c r="EH6" i="18"/>
  <c r="EP6" i="18"/>
  <c r="DQ12" i="18"/>
  <c r="ES18" i="18"/>
  <c r="ES15" i="18"/>
  <c r="ES16" i="18"/>
  <c r="ES12" i="18"/>
  <c r="ES19" i="18"/>
  <c r="ES10" i="18"/>
  <c r="ES9" i="18"/>
  <c r="ES17" i="18"/>
  <c r="ES13" i="18"/>
  <c r="ES7" i="18"/>
  <c r="ES14" i="18"/>
  <c r="EW18" i="18"/>
  <c r="EW15" i="18"/>
  <c r="EW16" i="18"/>
  <c r="EW12" i="18"/>
  <c r="EW17" i="18"/>
  <c r="EW14" i="18"/>
  <c r="EW11" i="18"/>
  <c r="EW9" i="18"/>
  <c r="EW10" i="18"/>
  <c r="EW7" i="18"/>
  <c r="EW20" i="18"/>
  <c r="EW19" i="18"/>
  <c r="EW13" i="18"/>
  <c r="FI18" i="18"/>
  <c r="FI15" i="18"/>
  <c r="FI16" i="18"/>
  <c r="FI13" i="18"/>
  <c r="FI12" i="18"/>
  <c r="FI14" i="18"/>
  <c r="FI10" i="18"/>
  <c r="FI9" i="18"/>
  <c r="FI20" i="18"/>
  <c r="FI7" i="18"/>
  <c r="FI19" i="18"/>
  <c r="EW8" i="18"/>
  <c r="FF13" i="18"/>
  <c r="DU19" i="18"/>
  <c r="DU14" i="18"/>
  <c r="DU20" i="18"/>
  <c r="DU17" i="18"/>
  <c r="DU13" i="18"/>
  <c r="DU12" i="18"/>
  <c r="DU8" i="18"/>
  <c r="DU5" i="18"/>
  <c r="DU18" i="18"/>
  <c r="DU6" i="18"/>
  <c r="DU16" i="18"/>
  <c r="DY19" i="18"/>
  <c r="DY14" i="18"/>
  <c r="DY20" i="18"/>
  <c r="DY17" i="18"/>
  <c r="DY16" i="18"/>
  <c r="DY13" i="18"/>
  <c r="DY18" i="18"/>
  <c r="DY11" i="18"/>
  <c r="DY8" i="18"/>
  <c r="DY5" i="18"/>
  <c r="DY12" i="18"/>
  <c r="DY6" i="18"/>
  <c r="DY15" i="18"/>
  <c r="ED4" i="18"/>
  <c r="EL4" i="18"/>
  <c r="ET16" i="18"/>
  <c r="ET19" i="18"/>
  <c r="ET14" i="18"/>
  <c r="ET20" i="18"/>
  <c r="ET17" i="18"/>
  <c r="ET10" i="18"/>
  <c r="ET13" i="18"/>
  <c r="ET7" i="18"/>
  <c r="ET18" i="18"/>
  <c r="ET8" i="18"/>
  <c r="ET5" i="18"/>
  <c r="EX16" i="18"/>
  <c r="EX19" i="18"/>
  <c r="EX14" i="18"/>
  <c r="EX18" i="18"/>
  <c r="EX15" i="18"/>
  <c r="EX10" i="18"/>
  <c r="EX12" i="18"/>
  <c r="EX7" i="18"/>
  <c r="EX20" i="18"/>
  <c r="EX13" i="18"/>
  <c r="EX8" i="18"/>
  <c r="EX5" i="18"/>
  <c r="FB4" i="18"/>
  <c r="DR5" i="18"/>
  <c r="DZ5" i="18"/>
  <c r="ET6" i="18"/>
  <c r="DQ7" i="18"/>
  <c r="DY7" i="18"/>
  <c r="EH9" i="18"/>
  <c r="EP9" i="18"/>
  <c r="EX9" i="18"/>
  <c r="DQ10" i="18"/>
  <c r="DY10" i="18"/>
  <c r="ET11" i="18"/>
  <c r="ET12" i="18"/>
  <c r="EP13" i="18"/>
  <c r="FI17" i="18"/>
  <c r="DQ18" i="18"/>
  <c r="FF16" i="18"/>
  <c r="FF19" i="18"/>
  <c r="FF14" i="18"/>
  <c r="FF18" i="18"/>
  <c r="FF15" i="18"/>
  <c r="FF10" i="18"/>
  <c r="FF17" i="18"/>
  <c r="FF7" i="18"/>
  <c r="FF11" i="18"/>
  <c r="FF8" i="18"/>
  <c r="FF5" i="18"/>
  <c r="FF20" i="18"/>
  <c r="FF6" i="18"/>
  <c r="DQ11" i="18"/>
  <c r="EH20" i="18"/>
  <c r="DR20" i="18"/>
  <c r="DR17" i="18"/>
  <c r="DR18" i="18"/>
  <c r="DR15" i="18"/>
  <c r="DR19" i="18"/>
  <c r="DR14" i="18"/>
  <c r="DR11" i="18"/>
  <c r="DR13" i="18"/>
  <c r="DR6" i="18"/>
  <c r="DR9" i="18"/>
  <c r="EK18" i="18"/>
  <c r="EK15" i="18"/>
  <c r="EK16" i="18"/>
  <c r="EK12" i="18"/>
  <c r="EK17" i="18"/>
  <c r="EK9" i="18"/>
  <c r="EK14" i="18"/>
  <c r="EK11" i="18"/>
  <c r="EK7" i="18"/>
  <c r="EK20" i="18"/>
  <c r="FA18" i="18"/>
  <c r="FA15" i="18"/>
  <c r="FA16" i="18"/>
  <c r="FA12" i="18"/>
  <c r="FA20" i="18"/>
  <c r="FA9" i="18"/>
  <c r="FA19" i="18"/>
  <c r="FA11" i="18"/>
  <c r="FA7" i="18"/>
  <c r="FA17" i="18"/>
  <c r="EW5" i="18"/>
  <c r="EK6" i="18"/>
  <c r="ES6" i="18"/>
  <c r="FA6" i="18"/>
  <c r="FI6" i="18"/>
  <c r="FA10" i="18"/>
  <c r="EH11" i="18"/>
  <c r="ES11" i="18"/>
  <c r="DR12" i="18"/>
  <c r="EP12" i="18"/>
  <c r="ES20" i="18"/>
  <c r="FH4" i="18"/>
  <c r="FD4" i="18"/>
  <c r="ER4" i="18"/>
  <c r="EN4" i="18"/>
  <c r="EJ4" i="18"/>
  <c r="EF4" i="18"/>
  <c r="EB4" i="18"/>
  <c r="EB20" i="18" s="1"/>
  <c r="DT4" i="18"/>
  <c r="DP4" i="18"/>
  <c r="FK4" i="18"/>
  <c r="FG4" i="18"/>
  <c r="FC4" i="18"/>
  <c r="EQ4" i="18"/>
  <c r="EM4" i="18"/>
  <c r="EI4" i="18"/>
  <c r="EE4" i="18"/>
  <c r="DS4" i="18"/>
  <c r="DO4" i="18"/>
  <c r="DN4" i="18"/>
  <c r="DV20" i="18"/>
  <c r="DV17" i="18"/>
  <c r="DV18" i="18"/>
  <c r="DV15" i="18"/>
  <c r="DV11" i="18"/>
  <c r="DV19" i="18"/>
  <c r="DV6" i="18"/>
  <c r="DV16" i="18"/>
  <c r="DV13" i="18"/>
  <c r="DV9" i="18"/>
  <c r="DV14" i="18"/>
  <c r="DZ20" i="18"/>
  <c r="DZ17" i="18"/>
  <c r="DZ18" i="18"/>
  <c r="DZ15" i="18"/>
  <c r="DZ19" i="18"/>
  <c r="DZ14" i="18"/>
  <c r="DZ11" i="18"/>
  <c r="DZ16" i="18"/>
  <c r="DZ12" i="18"/>
  <c r="DZ6" i="18"/>
  <c r="DZ9" i="18"/>
  <c r="EG4" i="18"/>
  <c r="EO4" i="18"/>
  <c r="FE4" i="18"/>
  <c r="EK5" i="18"/>
  <c r="ES5" i="18"/>
  <c r="FA5" i="18"/>
  <c r="FI5" i="18"/>
  <c r="EW6" i="18"/>
  <c r="DR7" i="18"/>
  <c r="DZ7" i="18"/>
  <c r="EK8" i="18"/>
  <c r="ES8" i="18"/>
  <c r="FA8" i="18"/>
  <c r="FI8" i="18"/>
  <c r="DQ9" i="18"/>
  <c r="DY9" i="18"/>
  <c r="DR10" i="18"/>
  <c r="DZ10" i="18"/>
  <c r="EK10" i="18"/>
  <c r="EX11" i="18"/>
  <c r="FI11" i="18"/>
  <c r="FF12" i="18"/>
  <c r="DU15" i="18"/>
  <c r="DR16" i="18"/>
  <c r="DW18" i="18"/>
  <c r="DW15" i="18"/>
  <c r="DW16" i="18"/>
  <c r="DW12" i="18"/>
  <c r="EA18" i="18"/>
  <c r="EA15" i="18"/>
  <c r="EA16" i="18"/>
  <c r="EA12" i="18"/>
  <c r="EU19" i="18"/>
  <c r="EU14" i="18"/>
  <c r="EU20" i="18"/>
  <c r="EU17" i="18"/>
  <c r="EU13" i="18"/>
  <c r="EY19" i="18"/>
  <c r="EY14" i="18"/>
  <c r="EY20" i="18"/>
  <c r="EY17" i="18"/>
  <c r="EY16" i="18"/>
  <c r="EY13" i="18"/>
  <c r="DX5" i="18"/>
  <c r="EU6" i="18"/>
  <c r="EY6" i="18"/>
  <c r="DW7" i="18"/>
  <c r="EA7" i="18"/>
  <c r="DX8" i="18"/>
  <c r="EV9" i="18"/>
  <c r="DW10" i="18"/>
  <c r="EA10" i="18"/>
  <c r="EU11" i="18"/>
  <c r="EV12" i="18"/>
  <c r="EA13" i="18"/>
  <c r="DW14" i="18"/>
  <c r="EY15" i="18"/>
  <c r="EU16" i="18"/>
  <c r="DW17" i="18"/>
  <c r="EA20" i="18"/>
  <c r="DX16" i="18"/>
  <c r="DX19" i="18"/>
  <c r="DX14" i="18"/>
  <c r="DX18" i="18"/>
  <c r="DX15" i="18"/>
  <c r="EV20" i="18"/>
  <c r="EV17" i="18"/>
  <c r="EV18" i="18"/>
  <c r="EV15" i="18"/>
  <c r="EV11" i="18"/>
  <c r="EZ20" i="18"/>
  <c r="EZ17" i="18"/>
  <c r="EZ18" i="18"/>
  <c r="EZ15" i="18"/>
  <c r="EZ19" i="18"/>
  <c r="EZ14" i="18"/>
  <c r="EZ11" i="18"/>
  <c r="EU5" i="18"/>
  <c r="EY5" i="18"/>
  <c r="EV6" i="18"/>
  <c r="EZ6" i="18"/>
  <c r="DX7" i="18"/>
  <c r="EU8" i="18"/>
  <c r="EY8" i="18"/>
  <c r="DW9" i="18"/>
  <c r="EA9" i="18"/>
  <c r="DX10" i="18"/>
  <c r="EY10" i="18"/>
  <c r="DW13" i="18"/>
  <c r="EZ13" i="18"/>
  <c r="EA14" i="18"/>
  <c r="EV16" i="18"/>
  <c r="DX17" i="18"/>
  <c r="EU18" i="18"/>
  <c r="EC5" i="18"/>
  <c r="EB6" i="18"/>
  <c r="EB7" i="18"/>
  <c r="EC12" i="18"/>
  <c r="EC13" i="18"/>
  <c r="EB14" i="18"/>
  <c r="EB15" i="18"/>
  <c r="EC20" i="18"/>
  <c r="EC7" i="18"/>
  <c r="EC14" i="18"/>
  <c r="EB16" i="18"/>
  <c r="EB17" i="18"/>
  <c r="EC8" i="18"/>
  <c r="EC9" i="18"/>
  <c r="EB10" i="18"/>
  <c r="EB11" i="18"/>
  <c r="EC16" i="18"/>
  <c r="EC17" i="18"/>
  <c r="EB18" i="18"/>
  <c r="EB19" i="18"/>
  <c r="EC6" i="18"/>
  <c r="EB8" i="18"/>
  <c r="EB9" i="18"/>
  <c r="EC15" i="18"/>
  <c r="EB5" i="18"/>
  <c r="EC10" i="18"/>
  <c r="EC11" i="18"/>
  <c r="EB12" i="18"/>
  <c r="EB13" i="18"/>
  <c r="EC18" i="18"/>
  <c r="P28" i="14"/>
  <c r="Q28" i="14"/>
  <c r="P31" i="14"/>
  <c r="Q31" i="14"/>
  <c r="P34" i="14"/>
  <c r="Q34" i="14"/>
  <c r="P37" i="14"/>
  <c r="Q37" i="14"/>
  <c r="P40" i="14"/>
  <c r="Q40" i="14"/>
  <c r="P43" i="14"/>
  <c r="Q43" i="14"/>
  <c r="P46" i="14"/>
  <c r="Q46" i="14"/>
  <c r="P51" i="14"/>
  <c r="Q51" i="14"/>
  <c r="P54" i="14"/>
  <c r="Q54" i="14"/>
  <c r="P57" i="14"/>
  <c r="Q57" i="14"/>
  <c r="P58" i="14"/>
  <c r="Q58" i="14"/>
  <c r="P65" i="14"/>
  <c r="Q65" i="14"/>
  <c r="P66" i="14"/>
  <c r="Q66" i="14"/>
  <c r="P69" i="14"/>
  <c r="Q69" i="14"/>
  <c r="P71" i="14"/>
  <c r="Q71" i="14"/>
  <c r="P73" i="14"/>
  <c r="Q73" i="14"/>
  <c r="P74" i="14"/>
  <c r="Q74" i="14"/>
  <c r="P76" i="14"/>
  <c r="Q76" i="14"/>
  <c r="P79" i="14"/>
  <c r="Q79" i="14"/>
  <c r="P82" i="14"/>
  <c r="Q82" i="14"/>
  <c r="P84" i="14"/>
  <c r="Q84" i="14"/>
  <c r="P86" i="14"/>
  <c r="Q86" i="14"/>
  <c r="P87" i="14"/>
  <c r="Q87" i="14"/>
  <c r="P89" i="14"/>
  <c r="Q89" i="14"/>
  <c r="P30" i="14"/>
  <c r="Q30" i="14"/>
  <c r="P33" i="14"/>
  <c r="Q33" i="14"/>
  <c r="P36" i="14"/>
  <c r="Q36" i="14"/>
  <c r="P39" i="14"/>
  <c r="Q39" i="14"/>
  <c r="P41" i="14"/>
  <c r="Q41" i="14"/>
  <c r="P44" i="14"/>
  <c r="Q44" i="14"/>
  <c r="P47" i="14"/>
  <c r="Q47" i="14"/>
  <c r="P50" i="14"/>
  <c r="Q50" i="14"/>
  <c r="P53" i="14"/>
  <c r="Q53" i="14"/>
  <c r="P56" i="14"/>
  <c r="Q56" i="14"/>
  <c r="P59" i="14"/>
  <c r="Q59" i="14"/>
  <c r="P64" i="14"/>
  <c r="Q64" i="14"/>
  <c r="P67" i="14"/>
  <c r="Q67" i="14"/>
  <c r="P68" i="14"/>
  <c r="Q68" i="14"/>
  <c r="P70" i="14"/>
  <c r="Q70" i="14"/>
  <c r="P72" i="14"/>
  <c r="Q72" i="14"/>
  <c r="P75" i="14"/>
  <c r="Q75" i="14"/>
  <c r="P77" i="14"/>
  <c r="Q77" i="14"/>
  <c r="P80" i="14"/>
  <c r="Q80" i="14"/>
  <c r="P81" i="14"/>
  <c r="Q81" i="14"/>
  <c r="P83" i="14"/>
  <c r="Q83" i="14"/>
  <c r="P85" i="14"/>
  <c r="Q85" i="14"/>
  <c r="P88" i="14"/>
  <c r="Q88" i="14"/>
  <c r="P29" i="14"/>
  <c r="Q29" i="14"/>
  <c r="P32" i="14"/>
  <c r="Q32" i="14"/>
  <c r="P35" i="14"/>
  <c r="Q35" i="14"/>
  <c r="P38" i="14"/>
  <c r="Q38" i="14"/>
  <c r="P42" i="14"/>
  <c r="Q42" i="14"/>
  <c r="P45" i="14"/>
  <c r="Q45" i="14"/>
  <c r="P48" i="14"/>
  <c r="Q48" i="14"/>
  <c r="P49" i="14"/>
  <c r="Q49" i="14"/>
  <c r="P52" i="14"/>
  <c r="Q52" i="14"/>
  <c r="P55" i="14"/>
  <c r="Q55" i="14"/>
  <c r="P17" i="15"/>
  <c r="Q16" i="15"/>
  <c r="S16" i="15"/>
  <c r="N33" i="15"/>
  <c r="K16" i="15"/>
  <c r="O12" i="15"/>
  <c r="K33" i="15"/>
  <c r="M38" i="15"/>
  <c r="Q14" i="16"/>
  <c r="Q15" i="16"/>
  <c r="L30" i="15"/>
  <c r="K30" i="15"/>
  <c r="M27" i="15"/>
  <c r="J27" i="15"/>
  <c r="O30" i="15"/>
  <c r="Q37" i="15"/>
  <c r="R35" i="15"/>
  <c r="N35" i="15"/>
  <c r="M11" i="15"/>
  <c r="M25" i="15"/>
  <c r="J25" i="15"/>
  <c r="N13" i="15"/>
  <c r="K13" i="15"/>
  <c r="P24" i="15"/>
  <c r="Q24" i="15"/>
  <c r="R31" i="15"/>
  <c r="S9" i="15"/>
  <c r="P14" i="15"/>
  <c r="S14" i="15"/>
  <c r="K14" i="15"/>
  <c r="Q14" i="15"/>
  <c r="J14" i="15"/>
  <c r="M9" i="15"/>
  <c r="L10" i="15"/>
  <c r="P13" i="15"/>
  <c r="Q13" i="15"/>
  <c r="J13" i="15"/>
  <c r="O13" i="15"/>
  <c r="S13" i="15"/>
  <c r="M31" i="15"/>
  <c r="S31" i="15"/>
  <c r="K31" i="15"/>
  <c r="K22" i="15"/>
  <c r="R22" i="15"/>
  <c r="J22" i="15"/>
  <c r="O15" i="15"/>
  <c r="K15" i="15"/>
  <c r="Q15" i="15"/>
  <c r="W15" i="15" s="1"/>
  <c r="N14" i="15"/>
  <c r="L15" i="15"/>
  <c r="Q22" i="15"/>
  <c r="R34" i="15"/>
  <c r="N34" i="15"/>
  <c r="L41" i="15"/>
  <c r="Q41" i="15"/>
  <c r="J41" i="15"/>
  <c r="M37" i="15"/>
  <c r="S37" i="15"/>
  <c r="K37" i="15"/>
  <c r="P40" i="15"/>
  <c r="Q40" i="15"/>
  <c r="K40" i="15"/>
  <c r="P14" i="16"/>
  <c r="P29" i="16"/>
  <c r="P28" i="16"/>
  <c r="P15" i="16"/>
  <c r="U17" i="18"/>
  <c r="U13" i="18"/>
  <c r="U9" i="18"/>
  <c r="U5" i="18"/>
  <c r="N4" i="13"/>
  <c r="N8" i="13"/>
  <c r="T5" i="18"/>
  <c r="T7" i="18"/>
  <c r="T9" i="18"/>
  <c r="T13" i="18"/>
  <c r="T15" i="18"/>
  <c r="T17" i="18"/>
  <c r="U6" i="18"/>
  <c r="U8" i="18"/>
  <c r="U14" i="18"/>
  <c r="U16" i="18"/>
  <c r="K17" i="15"/>
  <c r="J16" i="15"/>
  <c r="N16" i="15"/>
  <c r="Q17" i="15"/>
  <c r="W17" i="15" s="1"/>
  <c r="P16" i="15"/>
  <c r="O17" i="15"/>
  <c r="L19" i="15"/>
  <c r="Y12" i="15"/>
  <c r="AA9" i="15"/>
  <c r="AB12" i="15"/>
  <c r="AA12" i="15"/>
  <c r="Y22" i="15"/>
  <c r="Z23" i="15"/>
  <c r="Z26" i="15"/>
  <c r="Y13" i="15"/>
  <c r="Z8" i="15"/>
  <c r="Y29" i="15"/>
  <c r="AA8" i="15"/>
  <c r="Z29" i="15"/>
  <c r="AB8" i="15"/>
  <c r="Y8" i="15"/>
  <c r="AB29" i="15"/>
  <c r="AA29" i="15"/>
  <c r="Z42" i="15"/>
  <c r="AB41" i="15"/>
  <c r="AA36" i="15"/>
  <c r="AA38" i="15"/>
  <c r="Y26" i="15"/>
  <c r="Z25" i="15"/>
  <c r="Z21" i="15"/>
  <c r="Z19" i="15"/>
  <c r="Y25" i="15"/>
  <c r="Y18" i="15"/>
  <c r="AB42" i="15"/>
  <c r="AB23" i="15"/>
  <c r="Y10" i="15"/>
  <c r="Y14" i="15"/>
  <c r="AA19" i="15"/>
  <c r="AB10" i="15"/>
  <c r="AA10" i="15"/>
  <c r="AA11" i="15"/>
  <c r="AB15" i="15"/>
  <c r="AB19" i="15"/>
  <c r="Y16" i="15"/>
  <c r="AB17" i="15"/>
  <c r="Y21" i="15"/>
  <c r="Z41" i="15"/>
  <c r="AA20" i="15"/>
  <c r="AA23" i="15"/>
  <c r="Y27" i="15"/>
  <c r="AA30" i="15"/>
  <c r="Y31" i="15"/>
  <c r="Y34" i="15"/>
  <c r="Y35" i="15"/>
  <c r="Z37" i="15"/>
  <c r="Z39" i="15"/>
  <c r="Y36" i="15"/>
  <c r="Y38" i="15"/>
  <c r="AA42" i="15"/>
  <c r="L88" i="14"/>
  <c r="N88" i="14" s="1"/>
  <c r="L45" i="14"/>
  <c r="M45" i="14" s="1"/>
  <c r="AF45" i="14" s="1"/>
  <c r="L80" i="14"/>
  <c r="N80" i="14" s="1"/>
  <c r="BN11" i="18"/>
  <c r="L53" i="14"/>
  <c r="CP8" i="18"/>
  <c r="L33" i="14"/>
  <c r="N33" i="14" s="1"/>
  <c r="L40" i="14"/>
  <c r="N40" i="14" s="1"/>
  <c r="L48" i="14"/>
  <c r="N48" i="14" s="1"/>
  <c r="L56" i="14"/>
  <c r="L73" i="14"/>
  <c r="N73" i="14" s="1"/>
  <c r="L75" i="14"/>
  <c r="M75" i="14" s="1"/>
  <c r="AF75" i="14" s="1"/>
  <c r="L62" i="14"/>
  <c r="L63" i="14"/>
  <c r="L60" i="14"/>
  <c r="N60" i="14" s="1"/>
  <c r="BZ13" i="18"/>
  <c r="BR10" i="18"/>
  <c r="BR8" i="18"/>
  <c r="CM6" i="18"/>
  <c r="L68" i="14"/>
  <c r="N68" i="14" s="1"/>
  <c r="L64" i="14"/>
  <c r="L59" i="14"/>
  <c r="M59" i="14" s="1"/>
  <c r="U59" i="14" s="1"/>
  <c r="L55" i="14"/>
  <c r="N55" i="14" s="1"/>
  <c r="L51" i="14"/>
  <c r="L47" i="14"/>
  <c r="M47" i="14" s="1"/>
  <c r="L43" i="14"/>
  <c r="N43" i="14" s="1"/>
  <c r="L39" i="14"/>
  <c r="L36" i="14"/>
  <c r="L32" i="14"/>
  <c r="L29" i="14"/>
  <c r="N29" i="14" s="1"/>
  <c r="L77" i="14"/>
  <c r="M77" i="14" s="1"/>
  <c r="L69" i="14"/>
  <c r="L61" i="14"/>
  <c r="M61" i="14" s="1"/>
  <c r="AD61" i="14" s="1"/>
  <c r="L54" i="14"/>
  <c r="M54" i="14" s="1"/>
  <c r="L46" i="14"/>
  <c r="N46" i="14" s="1"/>
  <c r="L42" i="14"/>
  <c r="N42" i="14" s="1"/>
  <c r="L35" i="14"/>
  <c r="N35" i="14" s="1"/>
  <c r="L28" i="14"/>
  <c r="N28" i="14" s="1"/>
  <c r="BZ19" i="18"/>
  <c r="BR12" i="18"/>
  <c r="CO9" i="18"/>
  <c r="CQ7" i="18"/>
  <c r="BO6" i="18"/>
  <c r="L89" i="14"/>
  <c r="M89" i="14" s="1"/>
  <c r="L83" i="14"/>
  <c r="M83" i="14" s="1"/>
  <c r="L58" i="14"/>
  <c r="L50" i="14"/>
  <c r="M50" i="14" s="1"/>
  <c r="L38" i="14"/>
  <c r="L31" i="14"/>
  <c r="L67" i="14"/>
  <c r="M67" i="14" s="1"/>
  <c r="L66" i="14"/>
  <c r="N66" i="14" s="1"/>
  <c r="L65" i="14"/>
  <c r="N65" i="14" s="1"/>
  <c r="BZ17" i="18"/>
  <c r="CO11" i="18"/>
  <c r="BP9" i="18"/>
  <c r="CL7" i="18"/>
  <c r="CO5" i="18"/>
  <c r="L87" i="14"/>
  <c r="L86" i="14"/>
  <c r="N86" i="14" s="1"/>
  <c r="L34" i="14"/>
  <c r="L41" i="14"/>
  <c r="L49" i="14"/>
  <c r="N49" i="14" s="1"/>
  <c r="L57" i="14"/>
  <c r="N57" i="14" s="1"/>
  <c r="BP5" i="18"/>
  <c r="BZ15" i="18"/>
  <c r="L30" i="14"/>
  <c r="L37" i="14"/>
  <c r="L44" i="14"/>
  <c r="M44" i="14" s="1"/>
  <c r="L52" i="14"/>
  <c r="M52" i="14" s="1"/>
  <c r="U52" i="14" s="1"/>
  <c r="L72" i="14"/>
  <c r="M72" i="14" s="1"/>
  <c r="BN7" i="18"/>
  <c r="R27" i="15"/>
  <c r="Q28" i="16"/>
  <c r="Q29" i="16"/>
  <c r="CO16" i="18"/>
  <c r="BS19" i="18"/>
  <c r="L74" i="14"/>
  <c r="L76" i="14"/>
  <c r="BO5" i="18"/>
  <c r="CM5" i="18"/>
  <c r="BN6" i="18"/>
  <c r="CL6" i="18"/>
  <c r="CQ6" i="18"/>
  <c r="BR7" i="18"/>
  <c r="CP7" i="18"/>
  <c r="BP8" i="18"/>
  <c r="CO8" i="18"/>
  <c r="BO9" i="18"/>
  <c r="CM9" i="18"/>
  <c r="BO10" i="18"/>
  <c r="CP10" i="18"/>
  <c r="CL11" i="18"/>
  <c r="BO12" i="18"/>
  <c r="CP12" i="18"/>
  <c r="CV14" i="18"/>
  <c r="CV16" i="18"/>
  <c r="CV18" i="18"/>
  <c r="CV20" i="18"/>
  <c r="L82" i="14"/>
  <c r="N82" i="14" s="1"/>
  <c r="BR5" i="18"/>
  <c r="CP5" i="18"/>
  <c r="BP6" i="18"/>
  <c r="CO6" i="18"/>
  <c r="BO7" i="18"/>
  <c r="CM7" i="18"/>
  <c r="BN8" i="18"/>
  <c r="CL8" i="18"/>
  <c r="CQ8" i="18"/>
  <c r="BR9" i="18"/>
  <c r="CP9" i="18"/>
  <c r="CL10" i="18"/>
  <c r="BO11" i="18"/>
  <c r="CP11" i="18"/>
  <c r="CL12" i="18"/>
  <c r="CV13" i="18"/>
  <c r="CV15" i="18"/>
  <c r="CV17" i="18"/>
  <c r="CV19" i="18"/>
  <c r="V8" i="15"/>
  <c r="W29" i="15"/>
  <c r="U8" i="15"/>
  <c r="T29" i="15"/>
  <c r="U29" i="15"/>
  <c r="T8" i="15"/>
  <c r="V29" i="15"/>
  <c r="W8" i="15"/>
  <c r="CY20" i="18"/>
  <c r="CY19" i="18"/>
  <c r="CY18" i="18"/>
  <c r="CY17" i="18"/>
  <c r="CY16" i="18"/>
  <c r="CY15" i="18"/>
  <c r="CY14" i="18"/>
  <c r="CY13" i="18"/>
  <c r="CQ12" i="18"/>
  <c r="CM12" i="18"/>
  <c r="BP12" i="18"/>
  <c r="CQ11" i="18"/>
  <c r="CM11" i="18"/>
  <c r="BP11" i="18"/>
  <c r="CQ10" i="18"/>
  <c r="CM10" i="18"/>
  <c r="BP10" i="18"/>
  <c r="CQ9" i="18"/>
  <c r="BW20" i="18"/>
  <c r="BW19" i="18"/>
  <c r="BW18" i="18"/>
  <c r="BW17" i="18"/>
  <c r="BW16" i="18"/>
  <c r="BW15" i="18"/>
  <c r="BW14" i="18"/>
  <c r="BW13" i="18"/>
  <c r="CN12" i="18"/>
  <c r="BQ12" i="18"/>
  <c r="BM12" i="18"/>
  <c r="CN11" i="18"/>
  <c r="BQ11" i="18"/>
  <c r="BM11" i="18"/>
  <c r="CN10" i="18"/>
  <c r="BQ10" i="18"/>
  <c r="BM10" i="18"/>
  <c r="CN9" i="18"/>
  <c r="BQ9" i="18"/>
  <c r="BM9" i="18"/>
  <c r="CN8" i="18"/>
  <c r="BQ8" i="18"/>
  <c r="BM8" i="18"/>
  <c r="CN7" i="18"/>
  <c r="BQ7" i="18"/>
  <c r="BM7" i="18"/>
  <c r="CN6" i="18"/>
  <c r="BQ6" i="18"/>
  <c r="BM6" i="18"/>
  <c r="CN5" i="18"/>
  <c r="BQ5" i="18"/>
  <c r="BM5" i="18"/>
  <c r="L85" i="14"/>
  <c r="L84" i="14"/>
  <c r="M84" i="14" s="1"/>
  <c r="AF84" i="14" s="1"/>
  <c r="L81" i="14"/>
  <c r="L79" i="14"/>
  <c r="N79" i="14" s="1"/>
  <c r="L70" i="14"/>
  <c r="N70" i="14" s="1"/>
  <c r="L71" i="14"/>
  <c r="BN5" i="18"/>
  <c r="CL5" i="18"/>
  <c r="CQ5" i="18"/>
  <c r="BR6" i="18"/>
  <c r="CP6" i="18"/>
  <c r="BP7" i="18"/>
  <c r="CO7" i="18"/>
  <c r="BO8" i="18"/>
  <c r="CM8" i="18"/>
  <c r="BN9" i="18"/>
  <c r="CL9" i="18"/>
  <c r="BN10" i="18"/>
  <c r="CO10" i="18"/>
  <c r="BR11" i="18"/>
  <c r="BN12" i="18"/>
  <c r="CO12" i="18"/>
  <c r="BZ14" i="18"/>
  <c r="BZ16" i="18"/>
  <c r="BZ18" i="18"/>
  <c r="BZ20" i="18"/>
  <c r="AN12" i="16"/>
  <c r="CY5" i="18"/>
  <c r="BW7" i="18"/>
  <c r="CW8" i="18"/>
  <c r="DE12" i="18"/>
  <c r="CS18" i="18"/>
  <c r="BS5" i="18"/>
  <c r="CS6" i="18"/>
  <c r="BU8" i="18"/>
  <c r="DG9" i="18"/>
  <c r="BM14" i="18"/>
  <c r="CK14" i="18"/>
  <c r="DI14" i="18"/>
  <c r="BU18" i="18"/>
  <c r="DA10" i="18"/>
  <c r="BQ16" i="18"/>
  <c r="CQ17" i="18"/>
  <c r="CU19" i="18"/>
  <c r="CU11" i="18"/>
  <c r="BY14" i="18"/>
  <c r="CW14" i="18"/>
  <c r="BO17" i="18"/>
  <c r="CI5" i="18"/>
  <c r="DC7" i="18"/>
  <c r="CK8" i="18"/>
  <c r="BY10" i="18"/>
  <c r="CC12" i="18"/>
  <c r="CM15" i="18"/>
  <c r="CA17" i="18"/>
  <c r="DC17" i="18"/>
  <c r="CC18" i="18"/>
  <c r="DA18" i="18"/>
  <c r="CE19" i="18"/>
  <c r="CG6" i="18"/>
  <c r="DI6" i="18"/>
  <c r="CA9" i="18"/>
  <c r="CE11" i="18"/>
  <c r="CI13" i="18"/>
  <c r="DI20" i="18"/>
  <c r="DE20" i="18"/>
  <c r="DA20" i="18"/>
  <c r="CW20" i="18"/>
  <c r="CS20" i="18"/>
  <c r="CO20" i="18"/>
  <c r="CK20" i="18"/>
  <c r="CG20" i="18"/>
  <c r="CC20" i="18"/>
  <c r="BY20" i="18"/>
  <c r="BU20" i="18"/>
  <c r="BQ20" i="18"/>
  <c r="BM20" i="18"/>
  <c r="DG19" i="18"/>
  <c r="DC19" i="18"/>
  <c r="DH20" i="18"/>
  <c r="DD20" i="18"/>
  <c r="CZ20" i="18"/>
  <c r="CR20" i="18"/>
  <c r="CN20" i="18"/>
  <c r="CJ20" i="18"/>
  <c r="CF20" i="18"/>
  <c r="CB20" i="18"/>
  <c r="BX20" i="18"/>
  <c r="BT20" i="18"/>
  <c r="BP20" i="18"/>
  <c r="DJ19" i="18"/>
  <c r="DF19" i="18"/>
  <c r="DB19" i="18"/>
  <c r="CX19" i="18"/>
  <c r="CT19" i="18"/>
  <c r="CP19" i="18"/>
  <c r="CL19" i="18"/>
  <c r="CH19" i="18"/>
  <c r="CD19" i="18"/>
  <c r="BV19" i="18"/>
  <c r="BR19" i="18"/>
  <c r="BN19" i="18"/>
  <c r="DH18" i="18"/>
  <c r="DD18" i="18"/>
  <c r="CZ18" i="18"/>
  <c r="CR18" i="18"/>
  <c r="CN18" i="18"/>
  <c r="CJ18" i="18"/>
  <c r="CF18" i="18"/>
  <c r="CB18" i="18"/>
  <c r="BX18" i="18"/>
  <c r="BT18" i="18"/>
  <c r="BP18" i="18"/>
  <c r="DJ17" i="18"/>
  <c r="DF17" i="18"/>
  <c r="DB17" i="18"/>
  <c r="CX17" i="18"/>
  <c r="CT17" i="18"/>
  <c r="CP17" i="18"/>
  <c r="CL17" i="18"/>
  <c r="CH17" i="18"/>
  <c r="CD17" i="18"/>
  <c r="BV17" i="18"/>
  <c r="BR17" i="18"/>
  <c r="BN17" i="18"/>
  <c r="DH16" i="18"/>
  <c r="DD16" i="18"/>
  <c r="CZ16" i="18"/>
  <c r="CR16" i="18"/>
  <c r="CN16" i="18"/>
  <c r="CJ16" i="18"/>
  <c r="CF16" i="18"/>
  <c r="CB16" i="18"/>
  <c r="BX16" i="18"/>
  <c r="BT16" i="18"/>
  <c r="BP16" i="18"/>
  <c r="DJ15" i="18"/>
  <c r="DF15" i="18"/>
  <c r="DB15" i="18"/>
  <c r="CX15" i="18"/>
  <c r="CT15" i="18"/>
  <c r="CP15" i="18"/>
  <c r="CL15" i="18"/>
  <c r="CH15" i="18"/>
  <c r="CD15" i="18"/>
  <c r="BV15" i="18"/>
  <c r="BR15" i="18"/>
  <c r="BN15" i="18"/>
  <c r="DH14" i="18"/>
  <c r="DD14" i="18"/>
  <c r="CZ14" i="18"/>
  <c r="CR14" i="18"/>
  <c r="CN14" i="18"/>
  <c r="CJ14" i="18"/>
  <c r="CF14" i="18"/>
  <c r="CB14" i="18"/>
  <c r="BX14" i="18"/>
  <c r="BT14" i="18"/>
  <c r="BP14" i="18"/>
  <c r="DJ13" i="18"/>
  <c r="DF13" i="18"/>
  <c r="DB13" i="18"/>
  <c r="CX13" i="18"/>
  <c r="CT13" i="18"/>
  <c r="CP13" i="18"/>
  <c r="CL13" i="18"/>
  <c r="CH13" i="18"/>
  <c r="CD13" i="18"/>
  <c r="BV13" i="18"/>
  <c r="BR13" i="18"/>
  <c r="BN13" i="18"/>
  <c r="DH12" i="18"/>
  <c r="DD12" i="18"/>
  <c r="CZ12" i="18"/>
  <c r="CV12" i="18"/>
  <c r="CR12" i="18"/>
  <c r="CJ12" i="18"/>
  <c r="CF12" i="18"/>
  <c r="CB12" i="18"/>
  <c r="BX12" i="18"/>
  <c r="BT12" i="18"/>
  <c r="DJ11" i="18"/>
  <c r="DF11" i="18"/>
  <c r="DB11" i="18"/>
  <c r="CX11" i="18"/>
  <c r="CT11" i="18"/>
  <c r="CH11" i="18"/>
  <c r="CD11" i="18"/>
  <c r="BZ11" i="18"/>
  <c r="BV11" i="18"/>
  <c r="DH10" i="18"/>
  <c r="DD10" i="18"/>
  <c r="CZ10" i="18"/>
  <c r="CV10" i="18"/>
  <c r="CR10" i="18"/>
  <c r="CJ10" i="18"/>
  <c r="CF10" i="18"/>
  <c r="CB10" i="18"/>
  <c r="BX10" i="18"/>
  <c r="BT10" i="18"/>
  <c r="DJ9" i="18"/>
  <c r="DF9" i="18"/>
  <c r="DB9" i="18"/>
  <c r="CX9" i="18"/>
  <c r="CT9" i="18"/>
  <c r="CH9" i="18"/>
  <c r="CD9" i="18"/>
  <c r="BZ9" i="18"/>
  <c r="BV9" i="18"/>
  <c r="DH8" i="18"/>
  <c r="DD8" i="18"/>
  <c r="CZ8" i="18"/>
  <c r="CV8" i="18"/>
  <c r="CR8" i="18"/>
  <c r="CJ8" i="18"/>
  <c r="CF8" i="18"/>
  <c r="CB8" i="18"/>
  <c r="BX8" i="18"/>
  <c r="BT8" i="18"/>
  <c r="DJ7" i="18"/>
  <c r="DF7" i="18"/>
  <c r="DB7" i="18"/>
  <c r="CX7" i="18"/>
  <c r="CT7" i="18"/>
  <c r="CH7" i="18"/>
  <c r="CD7" i="18"/>
  <c r="BZ7" i="18"/>
  <c r="BV7" i="18"/>
  <c r="DH6" i="18"/>
  <c r="DD6" i="18"/>
  <c r="CZ6" i="18"/>
  <c r="CV6" i="18"/>
  <c r="CR6" i="18"/>
  <c r="CJ6" i="18"/>
  <c r="CF6" i="18"/>
  <c r="CB6" i="18"/>
  <c r="BX6" i="18"/>
  <c r="BT6" i="18"/>
  <c r="DJ5" i="18"/>
  <c r="DF5" i="18"/>
  <c r="DB5" i="18"/>
  <c r="CX5" i="18"/>
  <c r="CT5" i="18"/>
  <c r="CH5" i="18"/>
  <c r="CD5" i="18"/>
  <c r="BZ5" i="18"/>
  <c r="BV5" i="18"/>
  <c r="DB20" i="18"/>
  <c r="CH20" i="18"/>
  <c r="DD19" i="18"/>
  <c r="CB19" i="18"/>
  <c r="BT19" i="18"/>
  <c r="DJ18" i="18"/>
  <c r="CX18" i="18"/>
  <c r="CT18" i="18"/>
  <c r="CL18" i="18"/>
  <c r="CD18" i="18"/>
  <c r="BV18" i="18"/>
  <c r="BR18" i="18"/>
  <c r="BN18" i="18"/>
  <c r="DH17" i="18"/>
  <c r="CZ17" i="18"/>
  <c r="CR17" i="18"/>
  <c r="CN17" i="18"/>
  <c r="CJ17" i="18"/>
  <c r="CF17" i="18"/>
  <c r="BX17" i="18"/>
  <c r="BP17" i="18"/>
  <c r="DF16" i="18"/>
  <c r="DB16" i="18"/>
  <c r="CP16" i="18"/>
  <c r="CH16" i="18"/>
  <c r="DD15" i="18"/>
  <c r="CB15" i="18"/>
  <c r="BT15" i="18"/>
  <c r="DJ14" i="18"/>
  <c r="CX14" i="18"/>
  <c r="CT14" i="18"/>
  <c r="CL14" i="18"/>
  <c r="CD14" i="18"/>
  <c r="BV14" i="18"/>
  <c r="BR14" i="18"/>
  <c r="BN14" i="18"/>
  <c r="DH13" i="18"/>
  <c r="CZ13" i="18"/>
  <c r="CR13" i="18"/>
  <c r="CN13" i="18"/>
  <c r="CJ13" i="18"/>
  <c r="CF13" i="18"/>
  <c r="BX13" i="18"/>
  <c r="BP13" i="18"/>
  <c r="DF12" i="18"/>
  <c r="DB12" i="18"/>
  <c r="CH12" i="18"/>
  <c r="BZ12" i="18"/>
  <c r="DD11" i="18"/>
  <c r="CV11" i="18"/>
  <c r="CJ11" i="18"/>
  <c r="CF11" i="18"/>
  <c r="BX11" i="18"/>
  <c r="BT11" i="18"/>
  <c r="DJ10" i="18"/>
  <c r="DB10" i="18"/>
  <c r="CT10" i="18"/>
  <c r="CD10" i="18"/>
  <c r="BV10" i="18"/>
  <c r="DH9" i="18"/>
  <c r="CZ9" i="18"/>
  <c r="CR9" i="18"/>
  <c r="CJ9" i="18"/>
  <c r="CF9" i="18"/>
  <c r="BX9" i="18"/>
  <c r="BT9" i="18"/>
  <c r="DJ8" i="18"/>
  <c r="DB8" i="18"/>
  <c r="CT8" i="18"/>
  <c r="CD8" i="18"/>
  <c r="BV8" i="18"/>
  <c r="DH7" i="18"/>
  <c r="CZ7" i="18"/>
  <c r="CR7" i="18"/>
  <c r="CJ7" i="18"/>
  <c r="CF7" i="18"/>
  <c r="BX7" i="18"/>
  <c r="BT7" i="18"/>
  <c r="DJ6" i="18"/>
  <c r="DB6" i="18"/>
  <c r="CT6" i="18"/>
  <c r="CD6" i="18"/>
  <c r="BV6" i="18"/>
  <c r="DH5" i="18"/>
  <c r="CZ5" i="18"/>
  <c r="CR5" i="18"/>
  <c r="CJ5" i="18"/>
  <c r="CF5" i="18"/>
  <c r="BX5" i="18"/>
  <c r="BT5" i="18"/>
  <c r="DG20" i="18"/>
  <c r="DC20" i="18"/>
  <c r="CU20" i="18"/>
  <c r="CQ20" i="18"/>
  <c r="CM20" i="18"/>
  <c r="CI20" i="18"/>
  <c r="CE20" i="18"/>
  <c r="CA20" i="18"/>
  <c r="BS20" i="18"/>
  <c r="BO20" i="18"/>
  <c r="DI19" i="18"/>
  <c r="DE19" i="18"/>
  <c r="DA19" i="18"/>
  <c r="CW19" i="18"/>
  <c r="CS19" i="18"/>
  <c r="CO19" i="18"/>
  <c r="CK19" i="18"/>
  <c r="CG19" i="18"/>
  <c r="CC19" i="18"/>
  <c r="BY19" i="18"/>
  <c r="BU19" i="18"/>
  <c r="BQ19" i="18"/>
  <c r="BM19" i="18"/>
  <c r="DG18" i="18"/>
  <c r="DC18" i="18"/>
  <c r="CU18" i="18"/>
  <c r="CQ18" i="18"/>
  <c r="CM18" i="18"/>
  <c r="CI18" i="18"/>
  <c r="CE18" i="18"/>
  <c r="CA18" i="18"/>
  <c r="BS18" i="18"/>
  <c r="BO18" i="18"/>
  <c r="DI17" i="18"/>
  <c r="DE17" i="18"/>
  <c r="DA17" i="18"/>
  <c r="CW17" i="18"/>
  <c r="CS17" i="18"/>
  <c r="CO17" i="18"/>
  <c r="CK17" i="18"/>
  <c r="CG17" i="18"/>
  <c r="CC17" i="18"/>
  <c r="BY17" i="18"/>
  <c r="BU17" i="18"/>
  <c r="BQ17" i="18"/>
  <c r="BM17" i="18"/>
  <c r="DG16" i="18"/>
  <c r="DC16" i="18"/>
  <c r="CU16" i="18"/>
  <c r="CQ16" i="18"/>
  <c r="CM16" i="18"/>
  <c r="CI16" i="18"/>
  <c r="CE16" i="18"/>
  <c r="CA16" i="18"/>
  <c r="BS16" i="18"/>
  <c r="BO16" i="18"/>
  <c r="DI15" i="18"/>
  <c r="DE15" i="18"/>
  <c r="DA15" i="18"/>
  <c r="CW15" i="18"/>
  <c r="CS15" i="18"/>
  <c r="CO15" i="18"/>
  <c r="CK15" i="18"/>
  <c r="CG15" i="18"/>
  <c r="CC15" i="18"/>
  <c r="BY15" i="18"/>
  <c r="BU15" i="18"/>
  <c r="BQ15" i="18"/>
  <c r="BM15" i="18"/>
  <c r="DG14" i="18"/>
  <c r="DC14" i="18"/>
  <c r="CU14" i="18"/>
  <c r="CQ14" i="18"/>
  <c r="CM14" i="18"/>
  <c r="CI14" i="18"/>
  <c r="CE14" i="18"/>
  <c r="CA14" i="18"/>
  <c r="BS14" i="18"/>
  <c r="BO14" i="18"/>
  <c r="DI13" i="18"/>
  <c r="DE13" i="18"/>
  <c r="DA13" i="18"/>
  <c r="CW13" i="18"/>
  <c r="CS13" i="18"/>
  <c r="CO13" i="18"/>
  <c r="CK13" i="18"/>
  <c r="CG13" i="18"/>
  <c r="CC13" i="18"/>
  <c r="BY13" i="18"/>
  <c r="BU13" i="18"/>
  <c r="BQ13" i="18"/>
  <c r="BM13" i="18"/>
  <c r="DG12" i="18"/>
  <c r="DC12" i="18"/>
  <c r="CY12" i="18"/>
  <c r="CU12" i="18"/>
  <c r="CI12" i="18"/>
  <c r="CE12" i="18"/>
  <c r="CA12" i="18"/>
  <c r="BW12" i="18"/>
  <c r="BS12" i="18"/>
  <c r="DI11" i="18"/>
  <c r="DE11" i="18"/>
  <c r="DA11" i="18"/>
  <c r="CW11" i="18"/>
  <c r="CS11" i="18"/>
  <c r="CK11" i="18"/>
  <c r="CG11" i="18"/>
  <c r="CC11" i="18"/>
  <c r="BY11" i="18"/>
  <c r="BU11" i="18"/>
  <c r="DG10" i="18"/>
  <c r="DC10" i="18"/>
  <c r="CY10" i="18"/>
  <c r="CU10" i="18"/>
  <c r="CI10" i="18"/>
  <c r="CE10" i="18"/>
  <c r="CA10" i="18"/>
  <c r="BW10" i="18"/>
  <c r="BS10" i="18"/>
  <c r="DI9" i="18"/>
  <c r="DE9" i="18"/>
  <c r="DA9" i="18"/>
  <c r="CW9" i="18"/>
  <c r="CS9" i="18"/>
  <c r="CK9" i="18"/>
  <c r="CG9" i="18"/>
  <c r="CC9" i="18"/>
  <c r="BY9" i="18"/>
  <c r="BU9" i="18"/>
  <c r="DG8" i="18"/>
  <c r="DC8" i="18"/>
  <c r="CY8" i="18"/>
  <c r="CU8" i="18"/>
  <c r="CI8" i="18"/>
  <c r="CE8" i="18"/>
  <c r="CA8" i="18"/>
  <c r="BW8" i="18"/>
  <c r="BS8" i="18"/>
  <c r="DI7" i="18"/>
  <c r="DE7" i="18"/>
  <c r="DA7" i="18"/>
  <c r="CW7" i="18"/>
  <c r="CS7" i="18"/>
  <c r="CK7" i="18"/>
  <c r="CG7" i="18"/>
  <c r="CC7" i="18"/>
  <c r="BY7" i="18"/>
  <c r="BU7" i="18"/>
  <c r="DG6" i="18"/>
  <c r="DC6" i="18"/>
  <c r="CY6" i="18"/>
  <c r="CU6" i="18"/>
  <c r="CI6" i="18"/>
  <c r="CE6" i="18"/>
  <c r="CA6" i="18"/>
  <c r="BW6" i="18"/>
  <c r="BS6" i="18"/>
  <c r="DI5" i="18"/>
  <c r="DE5" i="18"/>
  <c r="DA5" i="18"/>
  <c r="CW5" i="18"/>
  <c r="CS5" i="18"/>
  <c r="CK5" i="18"/>
  <c r="CG5" i="18"/>
  <c r="CC5" i="18"/>
  <c r="BY5" i="18"/>
  <c r="BU5" i="18"/>
  <c r="DJ20" i="18"/>
  <c r="DF20" i="18"/>
  <c r="CX20" i="18"/>
  <c r="CT20" i="18"/>
  <c r="CP20" i="18"/>
  <c r="CL20" i="18"/>
  <c r="CD20" i="18"/>
  <c r="BV20" i="18"/>
  <c r="BR20" i="18"/>
  <c r="BN20" i="18"/>
  <c r="DH19" i="18"/>
  <c r="CZ19" i="18"/>
  <c r="CR19" i="18"/>
  <c r="CN19" i="18"/>
  <c r="CJ19" i="18"/>
  <c r="CF19" i="18"/>
  <c r="BX19" i="18"/>
  <c r="BP19" i="18"/>
  <c r="DF18" i="18"/>
  <c r="DB18" i="18"/>
  <c r="CP18" i="18"/>
  <c r="CH18" i="18"/>
  <c r="DD17" i="18"/>
  <c r="CB17" i="18"/>
  <c r="BT17" i="18"/>
  <c r="DJ16" i="18"/>
  <c r="CX16" i="18"/>
  <c r="CT16" i="18"/>
  <c r="CL16" i="18"/>
  <c r="CD16" i="18"/>
  <c r="BV16" i="18"/>
  <c r="BR16" i="18"/>
  <c r="BN16" i="18"/>
  <c r="DH15" i="18"/>
  <c r="CZ15" i="18"/>
  <c r="CR15" i="18"/>
  <c r="CN15" i="18"/>
  <c r="CJ15" i="18"/>
  <c r="CF15" i="18"/>
  <c r="BX15" i="18"/>
  <c r="BP15" i="18"/>
  <c r="DF14" i="18"/>
  <c r="DB14" i="18"/>
  <c r="CP14" i="18"/>
  <c r="CH14" i="18"/>
  <c r="DD13" i="18"/>
  <c r="CB13" i="18"/>
  <c r="BT13" i="18"/>
  <c r="DJ12" i="18"/>
  <c r="CX12" i="18"/>
  <c r="CT12" i="18"/>
  <c r="CD12" i="18"/>
  <c r="BV12" i="18"/>
  <c r="DH11" i="18"/>
  <c r="CZ11" i="18"/>
  <c r="CR11" i="18"/>
  <c r="CB11" i="18"/>
  <c r="DF10" i="18"/>
  <c r="CX10" i="18"/>
  <c r="CH10" i="18"/>
  <c r="BZ10" i="18"/>
  <c r="DD9" i="18"/>
  <c r="CV9" i="18"/>
  <c r="CB9" i="18"/>
  <c r="DF8" i="18"/>
  <c r="CX8" i="18"/>
  <c r="CH8" i="18"/>
  <c r="BZ8" i="18"/>
  <c r="DD7" i="18"/>
  <c r="CV7" i="18"/>
  <c r="CB7" i="18"/>
  <c r="DF6" i="18"/>
  <c r="CX6" i="18"/>
  <c r="CH6" i="18"/>
  <c r="BZ6" i="18"/>
  <c r="DD5" i="18"/>
  <c r="CV5" i="18"/>
  <c r="CB5" i="18"/>
  <c r="BW5" i="18"/>
  <c r="CA5" i="18"/>
  <c r="DG5" i="18"/>
  <c r="CC8" i="18"/>
  <c r="CI9" i="18"/>
  <c r="BW11" i="18"/>
  <c r="DC11" i="18"/>
  <c r="CK12" i="18"/>
  <c r="CW12" i="18"/>
  <c r="BO13" i="18"/>
  <c r="CA13" i="18"/>
  <c r="CQ13" i="18"/>
  <c r="DC13" i="18"/>
  <c r="BU14" i="18"/>
  <c r="CC14" i="18"/>
  <c r="CS14" i="18"/>
  <c r="DA14" i="18"/>
  <c r="BS15" i="18"/>
  <c r="CE15" i="18"/>
  <c r="CU15" i="18"/>
  <c r="DG15" i="18"/>
  <c r="CG16" i="18"/>
  <c r="DE16" i="18"/>
  <c r="CI17" i="18"/>
  <c r="BM18" i="18"/>
  <c r="BY18" i="18"/>
  <c r="CK18" i="18"/>
  <c r="CW18" i="18"/>
  <c r="DI18" i="18"/>
  <c r="CM19" i="18"/>
  <c r="DC5" i="18"/>
  <c r="BU6" i="18"/>
  <c r="CW6" i="18"/>
  <c r="CA7" i="18"/>
  <c r="BY6" i="18"/>
  <c r="DA6" i="18"/>
  <c r="CE7" i="18"/>
  <c r="CU7" i="18"/>
  <c r="DE8" i="18"/>
  <c r="BS9" i="18"/>
  <c r="CY9" i="18"/>
  <c r="CG10" i="18"/>
  <c r="CS10" i="18"/>
  <c r="DI10" i="18"/>
  <c r="BU12" i="18"/>
  <c r="CE5" i="18"/>
  <c r="CU5" i="18"/>
  <c r="CC6" i="18"/>
  <c r="DE6" i="18"/>
  <c r="BS7" i="18"/>
  <c r="CI7" i="18"/>
  <c r="CY7" i="18"/>
  <c r="CG8" i="18"/>
  <c r="CS8" i="18"/>
  <c r="DI8" i="18"/>
  <c r="BW9" i="18"/>
  <c r="DC9" i="18"/>
  <c r="BU10" i="18"/>
  <c r="CK10" i="18"/>
  <c r="CW10" i="18"/>
  <c r="CA11" i="18"/>
  <c r="DG11" i="18"/>
  <c r="BY12" i="18"/>
  <c r="DA12" i="18"/>
  <c r="BS13" i="18"/>
  <c r="CE13" i="18"/>
  <c r="CU13" i="18"/>
  <c r="DG13" i="18"/>
  <c r="CG14" i="18"/>
  <c r="DE14" i="18"/>
  <c r="CI15" i="18"/>
  <c r="BM16" i="18"/>
  <c r="BY16" i="18"/>
  <c r="CK16" i="18"/>
  <c r="CW16" i="18"/>
  <c r="DI16" i="18"/>
  <c r="CM17" i="18"/>
  <c r="BQ18" i="18"/>
  <c r="CO18" i="18"/>
  <c r="BO19" i="18"/>
  <c r="CA19" i="18"/>
  <c r="CQ19" i="18"/>
  <c r="CK6" i="18"/>
  <c r="DG7" i="18"/>
  <c r="BY8" i="18"/>
  <c r="DA8" i="18"/>
  <c r="CE9" i="18"/>
  <c r="CU9" i="18"/>
  <c r="CC10" i="18"/>
  <c r="DE10" i="18"/>
  <c r="BS11" i="18"/>
  <c r="CI11" i="18"/>
  <c r="CY11" i="18"/>
  <c r="CG12" i="18"/>
  <c r="CS12" i="18"/>
  <c r="DI12" i="18"/>
  <c r="CM13" i="18"/>
  <c r="BQ14" i="18"/>
  <c r="CO14" i="18"/>
  <c r="BO15" i="18"/>
  <c r="CA15" i="18"/>
  <c r="CQ15" i="18"/>
  <c r="DC15" i="18"/>
  <c r="BU16" i="18"/>
  <c r="CC16" i="18"/>
  <c r="CS16" i="18"/>
  <c r="DA16" i="18"/>
  <c r="BS17" i="18"/>
  <c r="CE17" i="18"/>
  <c r="CU17" i="18"/>
  <c r="DG17" i="18"/>
  <c r="CG18" i="18"/>
  <c r="DE18" i="18"/>
  <c r="CI19" i="18"/>
  <c r="E31" i="10"/>
  <c r="M7" i="10"/>
  <c r="M6" i="10"/>
  <c r="M9" i="10"/>
  <c r="M12" i="10"/>
  <c r="M11" i="10"/>
  <c r="M16" i="10"/>
  <c r="F14" i="10"/>
  <c r="M14" i="10" s="1"/>
  <c r="F15" i="10"/>
  <c r="M15" i="10" s="1"/>
  <c r="M88" i="14"/>
  <c r="Q20" i="15"/>
  <c r="K20" i="15"/>
  <c r="L20" i="15"/>
  <c r="O20" i="15"/>
  <c r="AA28" i="15"/>
  <c r="Z28" i="15"/>
  <c r="AB28" i="15"/>
  <c r="Q10" i="15"/>
  <c r="K10" i="15"/>
  <c r="P10" i="15"/>
  <c r="P9" i="15"/>
  <c r="Q9" i="15"/>
  <c r="K9" i="15"/>
  <c r="O9" i="15"/>
  <c r="J9" i="15"/>
  <c r="R9" i="15"/>
  <c r="P11" i="15"/>
  <c r="S11" i="15"/>
  <c r="N11" i="15"/>
  <c r="R11" i="15"/>
  <c r="K11" i="15"/>
  <c r="Q11" i="15"/>
  <c r="J11" i="15"/>
  <c r="P12" i="15"/>
  <c r="K12" i="15"/>
  <c r="Q12" i="15"/>
  <c r="P18" i="15"/>
  <c r="O18" i="15"/>
  <c r="J18" i="15"/>
  <c r="R18" i="15"/>
  <c r="K18" i="15"/>
  <c r="Q18" i="15"/>
  <c r="S18" i="15"/>
  <c r="M18" i="15"/>
  <c r="L23" i="15"/>
  <c r="P23" i="15"/>
  <c r="P20" i="15"/>
  <c r="R21" i="15"/>
  <c r="O24" i="15"/>
  <c r="L28" i="15"/>
  <c r="J28" i="15"/>
  <c r="J21" i="15"/>
  <c r="K24" i="15"/>
  <c r="P27" i="15"/>
  <c r="Q27" i="15"/>
  <c r="K27" i="15"/>
  <c r="N27" i="15"/>
  <c r="P30" i="15"/>
  <c r="AA15" i="15"/>
  <c r="P22" i="15"/>
  <c r="S22" i="15"/>
  <c r="N22" i="15"/>
  <c r="M22" i="15"/>
  <c r="L24" i="15"/>
  <c r="O27" i="15"/>
  <c r="Q30" i="15"/>
  <c r="P31" i="15"/>
  <c r="W31" i="15" s="1"/>
  <c r="O31" i="15"/>
  <c r="J31" i="15"/>
  <c r="N31" i="15"/>
  <c r="AA33" i="15"/>
  <c r="AB33" i="15"/>
  <c r="Z33" i="15"/>
  <c r="M13" i="15"/>
  <c r="R13" i="15"/>
  <c r="M14" i="15"/>
  <c r="R14" i="15"/>
  <c r="M16" i="15"/>
  <c r="R16" i="15"/>
  <c r="P36" i="15"/>
  <c r="S36" i="15"/>
  <c r="N36" i="15"/>
  <c r="Q36" i="15"/>
  <c r="J36" i="15"/>
  <c r="O36" i="15"/>
  <c r="M36" i="15"/>
  <c r="K36" i="15"/>
  <c r="P38" i="15"/>
  <c r="W38" i="15" s="1"/>
  <c r="S38" i="15"/>
  <c r="N38" i="15"/>
  <c r="O38" i="15"/>
  <c r="K38" i="15"/>
  <c r="R38" i="15"/>
  <c r="J38" i="15"/>
  <c r="L39" i="15"/>
  <c r="J39" i="15"/>
  <c r="R39" i="15"/>
  <c r="P39" i="15"/>
  <c r="W39" i="15" s="1"/>
  <c r="P33" i="15"/>
  <c r="J33" i="15"/>
  <c r="O33" i="15"/>
  <c r="Q42" i="15"/>
  <c r="R42" i="15"/>
  <c r="J42" i="15"/>
  <c r="O42" i="15"/>
  <c r="N42" i="15"/>
  <c r="K42" i="15"/>
  <c r="S42" i="15"/>
  <c r="P37" i="15"/>
  <c r="O37" i="15"/>
  <c r="J37" i="15"/>
  <c r="N37" i="15"/>
  <c r="AB39" i="15"/>
  <c r="L40" i="15"/>
  <c r="N41" i="15"/>
  <c r="O40" i="15"/>
  <c r="P41" i="15"/>
  <c r="AB11" i="15"/>
  <c r="Z11" i="15"/>
  <c r="Y11" i="15"/>
  <c r="AB9" i="15"/>
  <c r="Z9" i="15"/>
  <c r="Y9" i="15"/>
  <c r="Z24" i="15"/>
  <c r="Y24" i="15"/>
  <c r="AB24" i="15"/>
  <c r="AA24" i="15"/>
  <c r="S26" i="15"/>
  <c r="O26" i="15"/>
  <c r="K26" i="15"/>
  <c r="Q26" i="15"/>
  <c r="L26" i="15"/>
  <c r="P26" i="15"/>
  <c r="M26" i="15"/>
  <c r="J26" i="15"/>
  <c r="R26" i="15"/>
  <c r="Z20" i="15"/>
  <c r="Y20" i="15"/>
  <c r="Q23" i="15"/>
  <c r="M23" i="15"/>
  <c r="S23" i="15"/>
  <c r="N23" i="15"/>
  <c r="R23" i="15"/>
  <c r="K23" i="15"/>
  <c r="O23" i="15"/>
  <c r="Z30" i="15"/>
  <c r="Y30" i="15"/>
  <c r="S32" i="15"/>
  <c r="O32" i="15"/>
  <c r="K32" i="15"/>
  <c r="Q32" i="15"/>
  <c r="L32" i="15"/>
  <c r="P32" i="15"/>
  <c r="J32" i="15"/>
  <c r="T32" i="15" s="1"/>
  <c r="M32" i="15"/>
  <c r="R32" i="15"/>
  <c r="Z17" i="15"/>
  <c r="Y17" i="15"/>
  <c r="Q19" i="15"/>
  <c r="M19" i="15"/>
  <c r="S19" i="15"/>
  <c r="N19" i="15"/>
  <c r="R19" i="15"/>
  <c r="K19" i="15"/>
  <c r="T19" i="15" s="1"/>
  <c r="O19" i="15"/>
  <c r="S25" i="15"/>
  <c r="O25" i="15"/>
  <c r="K25" i="15"/>
  <c r="Q25" i="15"/>
  <c r="L25" i="15"/>
  <c r="P25" i="15"/>
  <c r="N25" i="15"/>
  <c r="Q28" i="15"/>
  <c r="M28" i="15"/>
  <c r="S28" i="15"/>
  <c r="N28" i="15"/>
  <c r="R28" i="15"/>
  <c r="K28" i="15"/>
  <c r="O28" i="15"/>
  <c r="Z10" i="15"/>
  <c r="Z12" i="15"/>
  <c r="Z15" i="15"/>
  <c r="Y15" i="15"/>
  <c r="AA17" i="15"/>
  <c r="P19" i="15"/>
  <c r="AB20" i="15"/>
  <c r="S21" i="15"/>
  <c r="O21" i="15"/>
  <c r="K21" i="15"/>
  <c r="Q21" i="15"/>
  <c r="L21" i="15"/>
  <c r="U21" i="15" s="1"/>
  <c r="P21" i="15"/>
  <c r="N21" i="15"/>
  <c r="J23" i="15"/>
  <c r="R25" i="15"/>
  <c r="P28" i="15"/>
  <c r="AB30" i="15"/>
  <c r="N32" i="15"/>
  <c r="AB13" i="15"/>
  <c r="Z13" i="15"/>
  <c r="AA13" i="15"/>
  <c r="AB14" i="15"/>
  <c r="Z14" i="15"/>
  <c r="AA14" i="15"/>
  <c r="AB16" i="15"/>
  <c r="Z16" i="15"/>
  <c r="AA16" i="15"/>
  <c r="AB18" i="15"/>
  <c r="Z18" i="15"/>
  <c r="AA18" i="15"/>
  <c r="AA21" i="15"/>
  <c r="AB21" i="15"/>
  <c r="AB22" i="15"/>
  <c r="Z22" i="15"/>
  <c r="AA22" i="15"/>
  <c r="AA25" i="15"/>
  <c r="AB25" i="15"/>
  <c r="AA26" i="15"/>
  <c r="AB26" i="15"/>
  <c r="AB27" i="15"/>
  <c r="Z27" i="15"/>
  <c r="AA27" i="15"/>
  <c r="AA34" i="15"/>
  <c r="AB34" i="15"/>
  <c r="Z34" i="15"/>
  <c r="AA35" i="15"/>
  <c r="AB35" i="15"/>
  <c r="Z35" i="15"/>
  <c r="R10" i="15"/>
  <c r="N10" i="15"/>
  <c r="J10" i="15"/>
  <c r="M10" i="15"/>
  <c r="S10" i="15"/>
  <c r="R12" i="15"/>
  <c r="N12" i="15"/>
  <c r="J12" i="15"/>
  <c r="M12" i="15"/>
  <c r="U12" i="15" s="1"/>
  <c r="S12" i="15"/>
  <c r="R15" i="15"/>
  <c r="N15" i="15"/>
  <c r="J15" i="15"/>
  <c r="M15" i="15"/>
  <c r="S15" i="15"/>
  <c r="R17" i="15"/>
  <c r="N17" i="15"/>
  <c r="J17" i="15"/>
  <c r="M17" i="15"/>
  <c r="U17" i="15" s="1"/>
  <c r="S17" i="15"/>
  <c r="R20" i="15"/>
  <c r="N20" i="15"/>
  <c r="J20" i="15"/>
  <c r="M20" i="15"/>
  <c r="S20" i="15"/>
  <c r="R24" i="15"/>
  <c r="N24" i="15"/>
  <c r="J24" i="15"/>
  <c r="M24" i="15"/>
  <c r="S24" i="15"/>
  <c r="R30" i="15"/>
  <c r="N30" i="15"/>
  <c r="J30" i="15"/>
  <c r="M30" i="15"/>
  <c r="S30" i="15"/>
  <c r="AB31" i="15"/>
  <c r="Z31" i="15"/>
  <c r="AA31" i="15"/>
  <c r="AA32" i="15"/>
  <c r="AB32" i="15"/>
  <c r="Z32" i="15"/>
  <c r="Y32" i="15"/>
  <c r="S34" i="15"/>
  <c r="O34" i="15"/>
  <c r="K34" i="15"/>
  <c r="Q34" i="15"/>
  <c r="L34" i="15"/>
  <c r="P34" i="15"/>
  <c r="J34" i="15"/>
  <c r="T34" i="15" s="1"/>
  <c r="M34" i="15"/>
  <c r="S35" i="15"/>
  <c r="O35" i="15"/>
  <c r="K35" i="15"/>
  <c r="Q35" i="15"/>
  <c r="L35" i="15"/>
  <c r="P35" i="15"/>
  <c r="J35" i="15"/>
  <c r="T35" i="15" s="1"/>
  <c r="M35" i="15"/>
  <c r="AB37" i="15"/>
  <c r="Y37" i="15"/>
  <c r="AA37" i="15"/>
  <c r="Z40" i="15"/>
  <c r="AB40" i="15"/>
  <c r="AA40" i="15"/>
  <c r="Y40" i="15"/>
  <c r="L9" i="15"/>
  <c r="L11" i="15"/>
  <c r="L13" i="15"/>
  <c r="L14" i="15"/>
  <c r="L16" i="15"/>
  <c r="L18" i="15"/>
  <c r="Y19" i="15"/>
  <c r="L22" i="15"/>
  <c r="Y23" i="15"/>
  <c r="L27" i="15"/>
  <c r="Y28" i="15"/>
  <c r="L31" i="15"/>
  <c r="Q33" i="15"/>
  <c r="M33" i="15"/>
  <c r="L33" i="15"/>
  <c r="R33" i="15"/>
  <c r="S39" i="15"/>
  <c r="O39" i="15"/>
  <c r="K39" i="15"/>
  <c r="N39" i="15"/>
  <c r="M39" i="15"/>
  <c r="AB36" i="15"/>
  <c r="Z36" i="15"/>
  <c r="AB38" i="15"/>
  <c r="Z38" i="15"/>
  <c r="Y33" i="15"/>
  <c r="AA39" i="15"/>
  <c r="Y39" i="15"/>
  <c r="Q16" i="16"/>
  <c r="Q18" i="16"/>
  <c r="Q20" i="16"/>
  <c r="Q21" i="16"/>
  <c r="Q34" i="16"/>
  <c r="Q35" i="16"/>
  <c r="Q37" i="16"/>
  <c r="Q39" i="16"/>
  <c r="Q45" i="16"/>
  <c r="Q52" i="16"/>
  <c r="AA41" i="15"/>
  <c r="Y41" i="15"/>
  <c r="Q22" i="16"/>
  <c r="Q24" i="16"/>
  <c r="Q26" i="16"/>
  <c r="Q27" i="16"/>
  <c r="Q31" i="16"/>
  <c r="Q42" i="16"/>
  <c r="Q43" i="16"/>
  <c r="Q44" i="16"/>
  <c r="Q48" i="16"/>
  <c r="Q49" i="16"/>
  <c r="Q50" i="16"/>
  <c r="Q51" i="16"/>
  <c r="Q55" i="16"/>
  <c r="L36" i="15"/>
  <c r="L37" i="15"/>
  <c r="L38" i="15"/>
  <c r="R40" i="15"/>
  <c r="N40" i="15"/>
  <c r="J40" i="15"/>
  <c r="M40" i="15"/>
  <c r="S40" i="15"/>
  <c r="S41" i="15"/>
  <c r="O41" i="15"/>
  <c r="K41" i="15"/>
  <c r="M41" i="15"/>
  <c r="R41" i="15"/>
  <c r="L42" i="15"/>
  <c r="P42" i="15"/>
  <c r="Q12" i="16"/>
  <c r="Q17" i="16"/>
  <c r="Q19" i="16"/>
  <c r="M42" i="15"/>
  <c r="Y42" i="15"/>
  <c r="Q13" i="16"/>
  <c r="Q23" i="16"/>
  <c r="Q25" i="16"/>
  <c r="Q33" i="16"/>
  <c r="Q36" i="16"/>
  <c r="Q38" i="16"/>
  <c r="Q40" i="16"/>
  <c r="Q41" i="16"/>
  <c r="Q30" i="16"/>
  <c r="Q32" i="16"/>
  <c r="Q46" i="16"/>
  <c r="Q47" i="16"/>
  <c r="Q53" i="16"/>
  <c r="Q54" i="16"/>
  <c r="P22" i="16"/>
  <c r="P12" i="16"/>
  <c r="M80" i="14"/>
  <c r="P33" i="16"/>
  <c r="P16" i="16"/>
  <c r="P53" i="16"/>
  <c r="P27" i="16"/>
  <c r="P31" i="16"/>
  <c r="P35" i="16"/>
  <c r="P42" i="16"/>
  <c r="P43" i="16"/>
  <c r="P18" i="16"/>
  <c r="P30" i="16"/>
  <c r="P20" i="16"/>
  <c r="P23" i="16"/>
  <c r="P36" i="16"/>
  <c r="P39" i="16"/>
  <c r="P46" i="16"/>
  <c r="P47" i="16"/>
  <c r="P48" i="16"/>
  <c r="P49" i="16"/>
  <c r="P54" i="16"/>
  <c r="P13" i="16"/>
  <c r="P17" i="16"/>
  <c r="P25" i="16"/>
  <c r="P32" i="16"/>
  <c r="P38" i="16"/>
  <c r="P45" i="16"/>
  <c r="P19" i="16"/>
  <c r="P21" i="16"/>
  <c r="P24" i="16"/>
  <c r="P26" i="16"/>
  <c r="P34" i="16"/>
  <c r="P37" i="16"/>
  <c r="P40" i="16"/>
  <c r="P41" i="16"/>
  <c r="P50" i="16"/>
  <c r="P51" i="16"/>
  <c r="P52" i="16"/>
  <c r="P55" i="16"/>
  <c r="F13" i="10"/>
  <c r="M13" i="10" s="1"/>
  <c r="F10" i="10"/>
  <c r="M10" i="10" s="1"/>
  <c r="F8" i="10"/>
  <c r="M8" i="10" s="1"/>
  <c r="F5" i="10"/>
  <c r="M5" i="10" s="1"/>
  <c r="DS18" i="18" l="1"/>
  <c r="DS15" i="18"/>
  <c r="DS16" i="18"/>
  <c r="DS12" i="18"/>
  <c r="DS20" i="18"/>
  <c r="DS9" i="18"/>
  <c r="DS19" i="18"/>
  <c r="DS11" i="18"/>
  <c r="DS10" i="18"/>
  <c r="DS7" i="18"/>
  <c r="DS17" i="18"/>
  <c r="DS8" i="18"/>
  <c r="DS5" i="18"/>
  <c r="DS14" i="18"/>
  <c r="DS6" i="18"/>
  <c r="DS13" i="18"/>
  <c r="DP16" i="18"/>
  <c r="DP19" i="18"/>
  <c r="DP14" i="18"/>
  <c r="DP18" i="18"/>
  <c r="DP15" i="18"/>
  <c r="DP12" i="18"/>
  <c r="DP10" i="18"/>
  <c r="DP7" i="18"/>
  <c r="DP20" i="18"/>
  <c r="DP13" i="18"/>
  <c r="DP8" i="18"/>
  <c r="DP5" i="18"/>
  <c r="DP11" i="18"/>
  <c r="DP6" i="18"/>
  <c r="DP17" i="18"/>
  <c r="DP9" i="18"/>
  <c r="FH20" i="18"/>
  <c r="FH17" i="18"/>
  <c r="FH18" i="18"/>
  <c r="FH15" i="18"/>
  <c r="FH19" i="18"/>
  <c r="FH14" i="18"/>
  <c r="FH11" i="18"/>
  <c r="FH16" i="18"/>
  <c r="FH12" i="18"/>
  <c r="FH6" i="18"/>
  <c r="FH10" i="18"/>
  <c r="FH9" i="18"/>
  <c r="FH13" i="18"/>
  <c r="FH7" i="18"/>
  <c r="FH8" i="18"/>
  <c r="FH5" i="18"/>
  <c r="FC19" i="18"/>
  <c r="FC14" i="18"/>
  <c r="FC20" i="18"/>
  <c r="FC17" i="18"/>
  <c r="FC13" i="18"/>
  <c r="FC12" i="18"/>
  <c r="FC8" i="18"/>
  <c r="FC5" i="18"/>
  <c r="FC18" i="18"/>
  <c r="FC10" i="18"/>
  <c r="FC6" i="18"/>
  <c r="FC16" i="18"/>
  <c r="FC15" i="18"/>
  <c r="FC11" i="18"/>
  <c r="FC9" i="18"/>
  <c r="FC7" i="18"/>
  <c r="DT16" i="18"/>
  <c r="DT19" i="18"/>
  <c r="DT14" i="18"/>
  <c r="DT20" i="18"/>
  <c r="DT17" i="18"/>
  <c r="DT15" i="18"/>
  <c r="DT11" i="18"/>
  <c r="DT10" i="18"/>
  <c r="DT7" i="18"/>
  <c r="DT12" i="18"/>
  <c r="DT8" i="18"/>
  <c r="DT5" i="18"/>
  <c r="DT18" i="18"/>
  <c r="DT13" i="18"/>
  <c r="DT6" i="18"/>
  <c r="DT9" i="18"/>
  <c r="EN20" i="18"/>
  <c r="EN17" i="18"/>
  <c r="EN18" i="18"/>
  <c r="EN15" i="18"/>
  <c r="EN11" i="18"/>
  <c r="EN14" i="18"/>
  <c r="EN10" i="18"/>
  <c r="EN6" i="18"/>
  <c r="EN13" i="18"/>
  <c r="EN9" i="18"/>
  <c r="EN19" i="18"/>
  <c r="EN8" i="18"/>
  <c r="EN16" i="18"/>
  <c r="EN7" i="18"/>
  <c r="EN12" i="18"/>
  <c r="EN5" i="18"/>
  <c r="ED16" i="18"/>
  <c r="ED19" i="18"/>
  <c r="ED14" i="18"/>
  <c r="ED20" i="18"/>
  <c r="ED17" i="18"/>
  <c r="ED13" i="18"/>
  <c r="ED10" i="18"/>
  <c r="ED7" i="18"/>
  <c r="ED15" i="18"/>
  <c r="ED8" i="18"/>
  <c r="ED5" i="18"/>
  <c r="ED18" i="18"/>
  <c r="ED11" i="18"/>
  <c r="ED6" i="18"/>
  <c r="ED12" i="18"/>
  <c r="ED9" i="18"/>
  <c r="EO18" i="18"/>
  <c r="EO15" i="18"/>
  <c r="EO16" i="18"/>
  <c r="EO12" i="18"/>
  <c r="EO13" i="18"/>
  <c r="EO9" i="18"/>
  <c r="EO20" i="18"/>
  <c r="EO19" i="18"/>
  <c r="EO7" i="18"/>
  <c r="EO14" i="18"/>
  <c r="EO6" i="18"/>
  <c r="EO5" i="18"/>
  <c r="EO17" i="18"/>
  <c r="EO11" i="18"/>
  <c r="EO10" i="18"/>
  <c r="EO8" i="18"/>
  <c r="DN20" i="18"/>
  <c r="DN17" i="18"/>
  <c r="DN18" i="18"/>
  <c r="DN15" i="18"/>
  <c r="DN11" i="18"/>
  <c r="DN16" i="18"/>
  <c r="DN6" i="18"/>
  <c r="DN14" i="18"/>
  <c r="FL14" i="18" s="1"/>
  <c r="DN12" i="18"/>
  <c r="DN9" i="18"/>
  <c r="DN19" i="18"/>
  <c r="DN7" i="18"/>
  <c r="FL7" i="18" s="1"/>
  <c r="DN13" i="18"/>
  <c r="DN5" i="18"/>
  <c r="DN10" i="18"/>
  <c r="FL10" i="18" s="1"/>
  <c r="DN8" i="18"/>
  <c r="EI19" i="18"/>
  <c r="EI14" i="18"/>
  <c r="EI20" i="18"/>
  <c r="EI17" i="18"/>
  <c r="EI16" i="18"/>
  <c r="EI13" i="18"/>
  <c r="EI10" i="18"/>
  <c r="EI8" i="18"/>
  <c r="EI5" i="18"/>
  <c r="EI18" i="18"/>
  <c r="EI6" i="18"/>
  <c r="EI9" i="18"/>
  <c r="EI15" i="18"/>
  <c r="EI12" i="18"/>
  <c r="EI11" i="18"/>
  <c r="EI7" i="18"/>
  <c r="FG19" i="18"/>
  <c r="FG14" i="18"/>
  <c r="FG20" i="18"/>
  <c r="FG17" i="18"/>
  <c r="FG16" i="18"/>
  <c r="FG13" i="18"/>
  <c r="FG18" i="18"/>
  <c r="FG11" i="18"/>
  <c r="FG8" i="18"/>
  <c r="FG5" i="18"/>
  <c r="FG12" i="18"/>
  <c r="FG6" i="18"/>
  <c r="FG15" i="18"/>
  <c r="FG10" i="18"/>
  <c r="FG9" i="18"/>
  <c r="FG7" i="18"/>
  <c r="ER20" i="18"/>
  <c r="ER17" i="18"/>
  <c r="ER18" i="18"/>
  <c r="ER15" i="18"/>
  <c r="ER19" i="18"/>
  <c r="ER14" i="18"/>
  <c r="ER11" i="18"/>
  <c r="ER12" i="18"/>
  <c r="ER6" i="18"/>
  <c r="ER10" i="18"/>
  <c r="ER9" i="18"/>
  <c r="ER16" i="18"/>
  <c r="ER13" i="18"/>
  <c r="ER7" i="18"/>
  <c r="ER8" i="18"/>
  <c r="ER5" i="18"/>
  <c r="EQ19" i="18"/>
  <c r="EQ14" i="18"/>
  <c r="EQ20" i="18"/>
  <c r="EQ17" i="18"/>
  <c r="EQ16" i="18"/>
  <c r="EQ13" i="18"/>
  <c r="EQ15" i="18"/>
  <c r="EQ11" i="18"/>
  <c r="EQ8" i="18"/>
  <c r="EQ5" i="18"/>
  <c r="EQ12" i="18"/>
  <c r="EQ6" i="18"/>
  <c r="EQ18" i="18"/>
  <c r="EQ9" i="18"/>
  <c r="EQ10" i="18"/>
  <c r="EQ7" i="18"/>
  <c r="EJ20" i="18"/>
  <c r="EJ17" i="18"/>
  <c r="EJ18" i="18"/>
  <c r="EJ15" i="18"/>
  <c r="EJ19" i="18"/>
  <c r="EJ14" i="18"/>
  <c r="EJ11" i="18"/>
  <c r="EJ13" i="18"/>
  <c r="EJ6" i="18"/>
  <c r="EJ16" i="18"/>
  <c r="EJ9" i="18"/>
  <c r="EJ12" i="18"/>
  <c r="EJ7" i="18"/>
  <c r="EJ10" i="18"/>
  <c r="EJ8" i="18"/>
  <c r="EJ5" i="18"/>
  <c r="FB16" i="18"/>
  <c r="FB19" i="18"/>
  <c r="FB14" i="18"/>
  <c r="FB20" i="18"/>
  <c r="FB17" i="18"/>
  <c r="FB10" i="18"/>
  <c r="FB15" i="18"/>
  <c r="FB11" i="18"/>
  <c r="FB7" i="18"/>
  <c r="FB12" i="18"/>
  <c r="FB8" i="18"/>
  <c r="FB5" i="18"/>
  <c r="FB18" i="18"/>
  <c r="FB13" i="18"/>
  <c r="FB9" i="18"/>
  <c r="FB6" i="18"/>
  <c r="EL16" i="18"/>
  <c r="EL19" i="18"/>
  <c r="EL14" i="18"/>
  <c r="EL20" i="18"/>
  <c r="EL17" i="18"/>
  <c r="EL10" i="18"/>
  <c r="EL18" i="18"/>
  <c r="EL11" i="18"/>
  <c r="EL7" i="18"/>
  <c r="EL12" i="18"/>
  <c r="EL8" i="18"/>
  <c r="EL5" i="18"/>
  <c r="EL15" i="18"/>
  <c r="EL13" i="18"/>
  <c r="EL6" i="18"/>
  <c r="EL9" i="18"/>
  <c r="FE18" i="18"/>
  <c r="FE15" i="18"/>
  <c r="FE16" i="18"/>
  <c r="FE12" i="18"/>
  <c r="FE13" i="18"/>
  <c r="FE9" i="18"/>
  <c r="FE17" i="18"/>
  <c r="FE14" i="18"/>
  <c r="FE7" i="18"/>
  <c r="FE6" i="18"/>
  <c r="FE5" i="18"/>
  <c r="FE20" i="18"/>
  <c r="FE19" i="18"/>
  <c r="FE11" i="18"/>
  <c r="FE10" i="18"/>
  <c r="FE8" i="18"/>
  <c r="EE19" i="18"/>
  <c r="EE14" i="18"/>
  <c r="EE20" i="18"/>
  <c r="EE17" i="18"/>
  <c r="EE13" i="18"/>
  <c r="EE15" i="18"/>
  <c r="EE8" i="18"/>
  <c r="EE5" i="18"/>
  <c r="EE11" i="18"/>
  <c r="EE6" i="18"/>
  <c r="EE18" i="18"/>
  <c r="EE12" i="18"/>
  <c r="EE9" i="18"/>
  <c r="EE16" i="18"/>
  <c r="EE10" i="18"/>
  <c r="EE7" i="18"/>
  <c r="R55" i="14"/>
  <c r="R49" i="14"/>
  <c r="R45" i="14"/>
  <c r="R38" i="14"/>
  <c r="R32" i="14"/>
  <c r="R88" i="14"/>
  <c r="R83" i="14"/>
  <c r="R80" i="14"/>
  <c r="R75" i="14"/>
  <c r="R70" i="14"/>
  <c r="R67" i="14"/>
  <c r="R59" i="14"/>
  <c r="R53" i="14"/>
  <c r="R47" i="14"/>
  <c r="R41" i="14"/>
  <c r="R36" i="14"/>
  <c r="R30" i="14"/>
  <c r="R87" i="14"/>
  <c r="R84" i="14"/>
  <c r="R79" i="14"/>
  <c r="R74" i="14"/>
  <c r="R71" i="14"/>
  <c r="R66" i="14"/>
  <c r="R58" i="14"/>
  <c r="R54" i="14"/>
  <c r="R46" i="14"/>
  <c r="R40" i="14"/>
  <c r="R34" i="14"/>
  <c r="R28" i="14"/>
  <c r="FL15" i="18"/>
  <c r="EG18" i="18"/>
  <c r="EG15" i="18"/>
  <c r="EG16" i="18"/>
  <c r="EG12" i="18"/>
  <c r="EG20" i="18"/>
  <c r="EG19" i="18"/>
  <c r="EG11" i="18"/>
  <c r="EG9" i="18"/>
  <c r="EG10" i="18"/>
  <c r="EG7" i="18"/>
  <c r="EG17" i="18"/>
  <c r="EG14" i="18"/>
  <c r="EG13" i="18"/>
  <c r="EG6" i="18"/>
  <c r="EG5" i="18"/>
  <c r="EG8" i="18"/>
  <c r="DO18" i="18"/>
  <c r="DO15" i="18"/>
  <c r="DO16" i="18"/>
  <c r="FL16" i="18" s="1"/>
  <c r="DO12" i="18"/>
  <c r="DO17" i="18"/>
  <c r="DO14" i="18"/>
  <c r="DO11" i="18"/>
  <c r="DO9" i="18"/>
  <c r="DO10" i="18"/>
  <c r="DO7" i="18"/>
  <c r="DO20" i="18"/>
  <c r="DO19" i="18"/>
  <c r="DO6" i="18"/>
  <c r="DO13" i="18"/>
  <c r="DO8" i="18"/>
  <c r="DO5" i="18"/>
  <c r="EM19" i="18"/>
  <c r="EM14" i="18"/>
  <c r="FM14" i="18" s="1"/>
  <c r="EM20" i="18"/>
  <c r="EM17" i="18"/>
  <c r="EM13" i="18"/>
  <c r="FM13" i="18" s="1"/>
  <c r="EM16" i="18"/>
  <c r="EM12" i="18"/>
  <c r="FM12" i="18" s="1"/>
  <c r="EM8" i="18"/>
  <c r="EM5" i="18"/>
  <c r="EM15" i="18"/>
  <c r="EM10" i="18"/>
  <c r="FM10" i="18" s="1"/>
  <c r="EM6" i="18"/>
  <c r="EM11" i="18"/>
  <c r="EM9" i="18"/>
  <c r="FM9" i="18" s="1"/>
  <c r="EM18" i="18"/>
  <c r="FM18" i="18" s="1"/>
  <c r="EM7" i="18"/>
  <c r="FK19" i="18"/>
  <c r="FK14" i="18"/>
  <c r="FK20" i="18"/>
  <c r="FK17" i="18"/>
  <c r="FK15" i="18"/>
  <c r="FK8" i="18"/>
  <c r="FK5" i="18"/>
  <c r="FK13" i="18"/>
  <c r="FK11" i="18"/>
  <c r="FK6" i="18"/>
  <c r="FK18" i="18"/>
  <c r="FK16" i="18"/>
  <c r="FK12" i="18"/>
  <c r="FK10" i="18"/>
  <c r="FK9" i="18"/>
  <c r="FK7" i="18"/>
  <c r="EF20" i="18"/>
  <c r="EF17" i="18"/>
  <c r="EF18" i="18"/>
  <c r="EF15" i="18"/>
  <c r="EF11" i="18"/>
  <c r="EF6" i="18"/>
  <c r="EF19" i="18"/>
  <c r="EF12" i="18"/>
  <c r="EF9" i="18"/>
  <c r="EF16" i="18"/>
  <c r="EF10" i="18"/>
  <c r="EF8" i="18"/>
  <c r="EF14" i="18"/>
  <c r="EF13" i="18"/>
  <c r="EF7" i="18"/>
  <c r="EF5" i="18"/>
  <c r="FD20" i="18"/>
  <c r="FD17" i="18"/>
  <c r="FD18" i="18"/>
  <c r="FD15" i="18"/>
  <c r="FD11" i="18"/>
  <c r="FD19" i="18"/>
  <c r="FD10" i="18"/>
  <c r="FD6" i="18"/>
  <c r="FD16" i="18"/>
  <c r="FD13" i="18"/>
  <c r="FD9" i="18"/>
  <c r="FD14" i="18"/>
  <c r="FD7" i="18"/>
  <c r="FD5" i="18"/>
  <c r="FD12" i="18"/>
  <c r="FD8" i="18"/>
  <c r="R52" i="14"/>
  <c r="R48" i="14"/>
  <c r="R42" i="14"/>
  <c r="R35" i="14"/>
  <c r="R29" i="14"/>
  <c r="R85" i="14"/>
  <c r="R81" i="14"/>
  <c r="R77" i="14"/>
  <c r="R72" i="14"/>
  <c r="R68" i="14"/>
  <c r="R64" i="14"/>
  <c r="R56" i="14"/>
  <c r="R50" i="14"/>
  <c r="R44" i="14"/>
  <c r="R39" i="14"/>
  <c r="R33" i="14"/>
  <c r="R89" i="14"/>
  <c r="R86" i="14"/>
  <c r="R82" i="14"/>
  <c r="R76" i="14"/>
  <c r="R73" i="14"/>
  <c r="R69" i="14"/>
  <c r="R65" i="14"/>
  <c r="R57" i="14"/>
  <c r="R51" i="14"/>
  <c r="R43" i="14"/>
  <c r="R37" i="14"/>
  <c r="R31" i="14"/>
  <c r="U11" i="15"/>
  <c r="AD11" i="15" s="1"/>
  <c r="U37" i="15"/>
  <c r="U38" i="15"/>
  <c r="AD38" i="15" s="1"/>
  <c r="T41" i="15"/>
  <c r="AC41" i="15" s="1"/>
  <c r="T37" i="15"/>
  <c r="AC37" i="15" s="1"/>
  <c r="T16" i="15"/>
  <c r="AC16" i="15" s="1"/>
  <c r="W22" i="15"/>
  <c r="AF22" i="15" s="1"/>
  <c r="W16" i="15"/>
  <c r="AF16" i="15" s="1"/>
  <c r="U15" i="15"/>
  <c r="AD15" i="15" s="1"/>
  <c r="T13" i="15"/>
  <c r="AC13" i="15" s="1"/>
  <c r="U30" i="15"/>
  <c r="AD30" i="15" s="1"/>
  <c r="W13" i="15"/>
  <c r="AF13" i="15" s="1"/>
  <c r="U31" i="15"/>
  <c r="T33" i="15"/>
  <c r="AC33" i="15" s="1"/>
  <c r="W14" i="15"/>
  <c r="AF14" i="15" s="1"/>
  <c r="T22" i="15"/>
  <c r="AC22" i="15" s="1"/>
  <c r="T14" i="15"/>
  <c r="AC14" i="15" s="1"/>
  <c r="T27" i="15"/>
  <c r="AC27" i="15" s="1"/>
  <c r="AE8" i="15"/>
  <c r="W24" i="15"/>
  <c r="AF24" i="15" s="1"/>
  <c r="W40" i="15"/>
  <c r="AF40" i="15" s="1"/>
  <c r="U27" i="15"/>
  <c r="AD27" i="15" s="1"/>
  <c r="T30" i="15"/>
  <c r="AC30" i="15" s="1"/>
  <c r="V13" i="15"/>
  <c r="AE13" i="15" s="1"/>
  <c r="U9" i="15"/>
  <c r="AD9" i="15" s="1"/>
  <c r="W37" i="15"/>
  <c r="AF37" i="15" s="1"/>
  <c r="T25" i="15"/>
  <c r="AC25" i="15" s="1"/>
  <c r="U10" i="15"/>
  <c r="AD10" i="15" s="1"/>
  <c r="AD29" i="15"/>
  <c r="U25" i="15"/>
  <c r="AD25" i="15" s="1"/>
  <c r="AF39" i="15"/>
  <c r="T31" i="15"/>
  <c r="AC31" i="15" s="1"/>
  <c r="U41" i="15"/>
  <c r="AD41" i="15" s="1"/>
  <c r="T15" i="15"/>
  <c r="AC15" i="15" s="1"/>
  <c r="T40" i="15"/>
  <c r="AC40" i="15" s="1"/>
  <c r="W41" i="15"/>
  <c r="AF41" i="15" s="1"/>
  <c r="V14" i="15"/>
  <c r="AE14" i="15" s="1"/>
  <c r="AD8" i="15"/>
  <c r="U39" i="15"/>
  <c r="AD39" i="15" s="1"/>
  <c r="N61" i="14"/>
  <c r="T61" i="14" s="1"/>
  <c r="M43" i="14"/>
  <c r="AF43" i="14" s="1"/>
  <c r="N45" i="14"/>
  <c r="T45" i="14" s="1"/>
  <c r="M35" i="14"/>
  <c r="M29" i="14"/>
  <c r="AF29" i="14" s="1"/>
  <c r="N83" i="14"/>
  <c r="O83" i="14" s="1"/>
  <c r="S83" i="14" s="1"/>
  <c r="AD59" i="14"/>
  <c r="M66" i="14"/>
  <c r="AG31" i="16" s="1"/>
  <c r="N59" i="14"/>
  <c r="T59" i="14" s="1"/>
  <c r="AF59" i="14"/>
  <c r="N89" i="14"/>
  <c r="AF61" i="14"/>
  <c r="M42" i="14"/>
  <c r="O42" i="14" s="1"/>
  <c r="S42" i="14" s="1"/>
  <c r="M79" i="14"/>
  <c r="AG45" i="16" s="1"/>
  <c r="M68" i="14"/>
  <c r="AG18" i="16" s="1"/>
  <c r="M48" i="14"/>
  <c r="AF48" i="14" s="1"/>
  <c r="N50" i="14"/>
  <c r="N52" i="14"/>
  <c r="T52" i="14" s="1"/>
  <c r="AD75" i="14"/>
  <c r="U61" i="14"/>
  <c r="U75" i="14"/>
  <c r="M33" i="14"/>
  <c r="T33" i="14" s="1"/>
  <c r="N75" i="14"/>
  <c r="T75" i="14" s="1"/>
  <c r="M40" i="14"/>
  <c r="O40" i="14" s="1"/>
  <c r="S40" i="14" s="1"/>
  <c r="AD45" i="14"/>
  <c r="N71" i="14"/>
  <c r="M71" i="14"/>
  <c r="AF71" i="14" s="1"/>
  <c r="N30" i="14"/>
  <c r="M30" i="14"/>
  <c r="AF30" i="14" s="1"/>
  <c r="M41" i="14"/>
  <c r="N41" i="14"/>
  <c r="N38" i="14"/>
  <c r="M38" i="14"/>
  <c r="AD38" i="14" s="1"/>
  <c r="N39" i="14"/>
  <c r="O39" i="14" s="1"/>
  <c r="S39" i="14" s="1"/>
  <c r="M39" i="14"/>
  <c r="N84" i="14"/>
  <c r="T84" i="14" s="1"/>
  <c r="M82" i="14"/>
  <c r="AF82" i="14" s="1"/>
  <c r="M60" i="14"/>
  <c r="AF60" i="14" s="1"/>
  <c r="N77" i="14"/>
  <c r="O77" i="14" s="1"/>
  <c r="S77" i="14" s="1"/>
  <c r="M86" i="14"/>
  <c r="AG52" i="16" s="1"/>
  <c r="M55" i="14"/>
  <c r="N54" i="14"/>
  <c r="O54" i="14" s="1"/>
  <c r="AY17" i="18" s="1"/>
  <c r="M28" i="14"/>
  <c r="M32" i="14"/>
  <c r="AF32" i="14" s="1"/>
  <c r="N32" i="14"/>
  <c r="M74" i="14"/>
  <c r="AF74" i="14" s="1"/>
  <c r="N74" i="14"/>
  <c r="AD72" i="14"/>
  <c r="AF72" i="14"/>
  <c r="N37" i="14"/>
  <c r="M37" i="14"/>
  <c r="U37" i="14" s="1"/>
  <c r="M87" i="14"/>
  <c r="AG53" i="16" s="1"/>
  <c r="N87" i="14"/>
  <c r="AD67" i="14"/>
  <c r="U67" i="14"/>
  <c r="N31" i="14"/>
  <c r="M31" i="14"/>
  <c r="AF31" i="14" s="1"/>
  <c r="M69" i="14"/>
  <c r="AD69" i="14" s="1"/>
  <c r="N69" i="14"/>
  <c r="M36" i="14"/>
  <c r="N36" i="14"/>
  <c r="N56" i="14"/>
  <c r="M56" i="14"/>
  <c r="AF56" i="14" s="1"/>
  <c r="M81" i="14"/>
  <c r="AG47" i="16" s="1"/>
  <c r="N81" i="14"/>
  <c r="N85" i="14"/>
  <c r="M85" i="14"/>
  <c r="AF85" i="14" s="1"/>
  <c r="M65" i="14"/>
  <c r="AE65" i="14" s="1"/>
  <c r="M49" i="14"/>
  <c r="AD49" i="14" s="1"/>
  <c r="N67" i="14"/>
  <c r="T67" i="14" s="1"/>
  <c r="N72" i="14"/>
  <c r="N34" i="14"/>
  <c r="M34" i="14"/>
  <c r="U19" i="18"/>
  <c r="U15" i="18"/>
  <c r="U11" i="18"/>
  <c r="U7" i="18"/>
  <c r="W36" i="15"/>
  <c r="AF36" i="15" s="1"/>
  <c r="T10" i="15"/>
  <c r="AC10" i="15" s="1"/>
  <c r="U20" i="15"/>
  <c r="AD20" i="15" s="1"/>
  <c r="T18" i="15"/>
  <c r="AC18" i="15" s="1"/>
  <c r="U19" i="15"/>
  <c r="AD19" i="15" s="1"/>
  <c r="U22" i="15"/>
  <c r="AD22" i="15" s="1"/>
  <c r="T42" i="15"/>
  <c r="AC42" i="15" s="1"/>
  <c r="V33" i="15"/>
  <c r="AE33" i="15" s="1"/>
  <c r="U40" i="15"/>
  <c r="AD40" i="15" s="1"/>
  <c r="U16" i="15"/>
  <c r="AD16" i="15" s="1"/>
  <c r="U24" i="15"/>
  <c r="AD24" i="15" s="1"/>
  <c r="U14" i="15"/>
  <c r="AD14" i="15" s="1"/>
  <c r="T20" i="15"/>
  <c r="AC20" i="15" s="1"/>
  <c r="V16" i="15"/>
  <c r="AE16" i="15" s="1"/>
  <c r="W23" i="15"/>
  <c r="AF23" i="15" s="1"/>
  <c r="U36" i="15"/>
  <c r="AD36" i="15" s="1"/>
  <c r="U18" i="15"/>
  <c r="AD18" i="15" s="1"/>
  <c r="U13" i="15"/>
  <c r="W42" i="15"/>
  <c r="AF42" i="15" s="1"/>
  <c r="W33" i="15"/>
  <c r="AF33" i="15" s="1"/>
  <c r="U23" i="15"/>
  <c r="AD23" i="15" s="1"/>
  <c r="T39" i="15"/>
  <c r="AC39" i="15" s="1"/>
  <c r="T28" i="15"/>
  <c r="AC28" i="15" s="1"/>
  <c r="T24" i="15"/>
  <c r="AC24" i="15" s="1"/>
  <c r="T17" i="15"/>
  <c r="AC17" i="15" s="1"/>
  <c r="T12" i="15"/>
  <c r="AC12" i="15" s="1"/>
  <c r="T21" i="15"/>
  <c r="AC21" i="15" s="1"/>
  <c r="U28" i="15"/>
  <c r="AD28" i="15" s="1"/>
  <c r="T23" i="15"/>
  <c r="AC23" i="15" s="1"/>
  <c r="T11" i="15"/>
  <c r="AC11" i="15" s="1"/>
  <c r="T9" i="15"/>
  <c r="AC9" i="15" s="1"/>
  <c r="V37" i="15"/>
  <c r="V27" i="15"/>
  <c r="AE27" i="15" s="1"/>
  <c r="V32" i="15"/>
  <c r="AE32" i="15" s="1"/>
  <c r="AD21" i="15"/>
  <c r="AD37" i="15"/>
  <c r="AD31" i="15"/>
  <c r="AF15" i="15"/>
  <c r="AE29" i="15"/>
  <c r="AF29" i="15"/>
  <c r="AF17" i="15"/>
  <c r="AD17" i="15"/>
  <c r="AF8" i="15"/>
  <c r="N44" i="14"/>
  <c r="O44" i="14" s="1"/>
  <c r="S44" i="14" s="1"/>
  <c r="O88" i="14"/>
  <c r="S88" i="14" s="1"/>
  <c r="M73" i="14"/>
  <c r="T73" i="14" s="1"/>
  <c r="AF31" i="15"/>
  <c r="U72" i="14"/>
  <c r="U45" i="14"/>
  <c r="AF67" i="14"/>
  <c r="M70" i="14"/>
  <c r="AE70" i="14" s="1"/>
  <c r="M76" i="14"/>
  <c r="N76" i="14"/>
  <c r="M58" i="14"/>
  <c r="N58" i="14"/>
  <c r="AF47" i="14"/>
  <c r="U47" i="14"/>
  <c r="M64" i="14"/>
  <c r="N64" i="14"/>
  <c r="N53" i="14"/>
  <c r="M53" i="14"/>
  <c r="AD53" i="14" s="1"/>
  <c r="AD84" i="14"/>
  <c r="M57" i="14"/>
  <c r="T57" i="14" s="1"/>
  <c r="N51" i="14"/>
  <c r="M51" i="14"/>
  <c r="M46" i="14"/>
  <c r="AD46" i="14" s="1"/>
  <c r="AD47" i="14"/>
  <c r="U84" i="14"/>
  <c r="N47" i="14"/>
  <c r="N63" i="14"/>
  <c r="M63" i="14"/>
  <c r="M62" i="14"/>
  <c r="N62" i="14"/>
  <c r="AC8" i="15"/>
  <c r="X8" i="15"/>
  <c r="AC29" i="15"/>
  <c r="X29" i="15"/>
  <c r="AG37" i="16"/>
  <c r="AG13" i="16"/>
  <c r="AG41" i="16"/>
  <c r="AG27" i="16"/>
  <c r="AG55" i="16"/>
  <c r="AG50" i="16"/>
  <c r="AG24" i="16"/>
  <c r="AG46" i="16"/>
  <c r="AG23" i="16"/>
  <c r="AG38" i="16"/>
  <c r="AG54" i="16"/>
  <c r="AG49" i="16"/>
  <c r="AG43" i="16"/>
  <c r="AF83" i="14"/>
  <c r="AD83" i="14"/>
  <c r="AD89" i="14"/>
  <c r="AF89" i="14"/>
  <c r="T80" i="14"/>
  <c r="AF80" i="14"/>
  <c r="AE80" i="14"/>
  <c r="AD80" i="14"/>
  <c r="T88" i="14"/>
  <c r="AF88" i="14"/>
  <c r="AD88" i="14"/>
  <c r="AE88" i="14"/>
  <c r="AF52" i="14"/>
  <c r="AD52" i="14"/>
  <c r="T28" i="14"/>
  <c r="AF44" i="14"/>
  <c r="AD44" i="14"/>
  <c r="AF54" i="14"/>
  <c r="AD54" i="14"/>
  <c r="AF77" i="14"/>
  <c r="AD77" i="14"/>
  <c r="AD37" i="14"/>
  <c r="AF50" i="14"/>
  <c r="AD50" i="14"/>
  <c r="V24" i="15"/>
  <c r="AE24" i="15" s="1"/>
  <c r="V17" i="15"/>
  <c r="AE17" i="15" s="1"/>
  <c r="V12" i="15"/>
  <c r="AE12" i="15" s="1"/>
  <c r="V10" i="15"/>
  <c r="AE10" i="15" s="1"/>
  <c r="V30" i="15"/>
  <c r="AE30" i="15" s="1"/>
  <c r="V20" i="15"/>
  <c r="AE20" i="15" s="1"/>
  <c r="V15" i="15"/>
  <c r="AE15" i="15" s="1"/>
  <c r="AD12" i="15"/>
  <c r="W12" i="15"/>
  <c r="AF12" i="15" s="1"/>
  <c r="T26" i="15"/>
  <c r="AC26" i="15" s="1"/>
  <c r="V41" i="15"/>
  <c r="AE41" i="15" s="1"/>
  <c r="W35" i="15"/>
  <c r="AF35" i="15" s="1"/>
  <c r="W28" i="15"/>
  <c r="AF28" i="15" s="1"/>
  <c r="W19" i="15"/>
  <c r="AF19" i="15" s="1"/>
  <c r="U26" i="15"/>
  <c r="AD26" i="15" s="1"/>
  <c r="V9" i="15"/>
  <c r="AE9" i="15" s="1"/>
  <c r="U32" i="15"/>
  <c r="AD32" i="15" s="1"/>
  <c r="V22" i="15"/>
  <c r="AE22" i="15" s="1"/>
  <c r="W11" i="15"/>
  <c r="AF11" i="15" s="1"/>
  <c r="V26" i="15"/>
  <c r="AE26" i="15" s="1"/>
  <c r="V35" i="15"/>
  <c r="AE35" i="15" s="1"/>
  <c r="V23" i="15"/>
  <c r="AE23" i="15" s="1"/>
  <c r="W9" i="15"/>
  <c r="AF9" i="15" s="1"/>
  <c r="V31" i="15"/>
  <c r="AE31" i="15" s="1"/>
  <c r="W27" i="15"/>
  <c r="AF27" i="15" s="1"/>
  <c r="W18" i="15"/>
  <c r="AF18" i="15" s="1"/>
  <c r="W10" i="15"/>
  <c r="AF10" i="15" s="1"/>
  <c r="V42" i="15"/>
  <c r="AE42" i="15" s="1"/>
  <c r="W20" i="15"/>
  <c r="AF20" i="15" s="1"/>
  <c r="V18" i="15"/>
  <c r="AE18" i="15" s="1"/>
  <c r="U54" i="14"/>
  <c r="DK12" i="18"/>
  <c r="DL5" i="18"/>
  <c r="DK7" i="18"/>
  <c r="DK16" i="18"/>
  <c r="DL16" i="18"/>
  <c r="DK10" i="18"/>
  <c r="DL12" i="18"/>
  <c r="DK11" i="18"/>
  <c r="DL10" i="18"/>
  <c r="DL20" i="18"/>
  <c r="DK5" i="18"/>
  <c r="DK9" i="18"/>
  <c r="DK15" i="18"/>
  <c r="DK17" i="18"/>
  <c r="DL8" i="18"/>
  <c r="DL13" i="18"/>
  <c r="DK19" i="18"/>
  <c r="DK6" i="18"/>
  <c r="DK8" i="18"/>
  <c r="DL11" i="18"/>
  <c r="DL18" i="18"/>
  <c r="DK20" i="18"/>
  <c r="DK13" i="18"/>
  <c r="DK14" i="18"/>
  <c r="DL14" i="18"/>
  <c r="DL19" i="18"/>
  <c r="DL6" i="18"/>
  <c r="DL15" i="18"/>
  <c r="DL7" i="18"/>
  <c r="DL9" i="18"/>
  <c r="DL17" i="18"/>
  <c r="DK18" i="18"/>
  <c r="D21" i="10"/>
  <c r="D25" i="10"/>
  <c r="D22" i="10"/>
  <c r="D24" i="10"/>
  <c r="O89" i="14"/>
  <c r="S89" i="14" s="1"/>
  <c r="U44" i="14"/>
  <c r="U83" i="14"/>
  <c r="U89" i="14"/>
  <c r="U88" i="14"/>
  <c r="U50" i="14"/>
  <c r="AF38" i="15"/>
  <c r="U33" i="15"/>
  <c r="AD33" i="15" s="1"/>
  <c r="V34" i="15"/>
  <c r="AE34" i="15" s="1"/>
  <c r="U42" i="15"/>
  <c r="AD42" i="15" s="1"/>
  <c r="W25" i="15"/>
  <c r="AF25" i="15" s="1"/>
  <c r="W26" i="15"/>
  <c r="T38" i="15"/>
  <c r="AC38" i="15" s="1"/>
  <c r="T36" i="15"/>
  <c r="AC36" i="15" s="1"/>
  <c r="W30" i="15"/>
  <c r="V11" i="15"/>
  <c r="AE11" i="15" s="1"/>
  <c r="V38" i="15"/>
  <c r="V36" i="15"/>
  <c r="AE36" i="15" s="1"/>
  <c r="AC19" i="15"/>
  <c r="U35" i="15"/>
  <c r="AD35" i="15" s="1"/>
  <c r="AC34" i="15"/>
  <c r="V28" i="15"/>
  <c r="AE28" i="15" s="1"/>
  <c r="V19" i="15"/>
  <c r="AE19" i="15" s="1"/>
  <c r="W34" i="15"/>
  <c r="AF34" i="15" s="1"/>
  <c r="V21" i="15"/>
  <c r="AE21" i="15" s="1"/>
  <c r="AC32" i="15"/>
  <c r="V40" i="15"/>
  <c r="AE40" i="15" s="1"/>
  <c r="V39" i="15"/>
  <c r="AE39" i="15" s="1"/>
  <c r="AC35" i="15"/>
  <c r="U34" i="15"/>
  <c r="AD34" i="15" s="1"/>
  <c r="W21" i="15"/>
  <c r="AF21" i="15" s="1"/>
  <c r="V25" i="15"/>
  <c r="AE25" i="15" s="1"/>
  <c r="W32" i="15"/>
  <c r="AF32" i="15" s="1"/>
  <c r="O80" i="14"/>
  <c r="S80" i="14" s="1"/>
  <c r="U80" i="14"/>
  <c r="U77" i="14"/>
  <c r="AF40" i="14" l="1"/>
  <c r="FN10" i="18"/>
  <c r="FN14" i="18"/>
  <c r="FM20" i="18"/>
  <c r="FM15" i="18"/>
  <c r="FN15" i="18" s="1"/>
  <c r="FL19" i="18"/>
  <c r="FL6" i="18"/>
  <c r="FM11" i="18"/>
  <c r="FM5" i="18"/>
  <c r="FM19" i="18"/>
  <c r="FL5" i="18"/>
  <c r="FL9" i="18"/>
  <c r="FN9" i="18" s="1"/>
  <c r="FL17" i="18"/>
  <c r="FL8" i="18"/>
  <c r="FM16" i="18"/>
  <c r="FN16" i="18" s="1"/>
  <c r="FL18" i="18"/>
  <c r="FN18" i="18" s="1"/>
  <c r="FM7" i="18"/>
  <c r="FN7" i="18" s="1"/>
  <c r="FM6" i="18"/>
  <c r="FM8" i="18"/>
  <c r="FM17" i="18"/>
  <c r="FL13" i="18"/>
  <c r="FN13" i="18" s="1"/>
  <c r="FL12" i="18"/>
  <c r="FN12" i="18" s="1"/>
  <c r="FL11" i="18"/>
  <c r="FL20" i="18"/>
  <c r="FN20" i="18" s="1"/>
  <c r="U79" i="14"/>
  <c r="U53" i="14"/>
  <c r="AE67" i="14"/>
  <c r="AG67" i="14" s="1"/>
  <c r="AE52" i="14"/>
  <c r="AG52" i="14" s="1"/>
  <c r="AH52" i="14" s="1"/>
  <c r="AF79" i="14"/>
  <c r="U60" i="14"/>
  <c r="O52" i="14"/>
  <c r="S52" i="14" s="1"/>
  <c r="T79" i="14"/>
  <c r="AD79" i="14"/>
  <c r="T60" i="14"/>
  <c r="AG19" i="16"/>
  <c r="O79" i="14"/>
  <c r="S79" i="14" s="1"/>
  <c r="AE79" i="14"/>
  <c r="AE40" i="14"/>
  <c r="BA16" i="18"/>
  <c r="AF81" i="14"/>
  <c r="AE48" i="14"/>
  <c r="AG17" i="16"/>
  <c r="U38" i="14"/>
  <c r="O48" i="14"/>
  <c r="S48" i="14" s="1"/>
  <c r="O49" i="14"/>
  <c r="S49" i="14" s="1"/>
  <c r="O86" i="14"/>
  <c r="S86" i="14" s="1"/>
  <c r="BA15" i="18"/>
  <c r="AD66" i="14"/>
  <c r="T48" i="14"/>
  <c r="U65" i="14"/>
  <c r="U66" i="14"/>
  <c r="O84" i="14"/>
  <c r="S84" i="14" s="1"/>
  <c r="V84" i="14" s="1"/>
  <c r="W84" i="14" s="1"/>
  <c r="X84" i="14" s="1"/>
  <c r="U48" i="14"/>
  <c r="BA13" i="18"/>
  <c r="BA14" i="18"/>
  <c r="AF66" i="14"/>
  <c r="T40" i="14"/>
  <c r="U73" i="14"/>
  <c r="O66" i="14"/>
  <c r="S66" i="14" s="1"/>
  <c r="U82" i="14"/>
  <c r="U31" i="14"/>
  <c r="U81" i="14"/>
  <c r="AD81" i="14"/>
  <c r="AD40" i="14"/>
  <c r="AD48" i="14"/>
  <c r="AG48" i="14" s="1"/>
  <c r="U49" i="14"/>
  <c r="O73" i="14"/>
  <c r="S73" i="14" s="1"/>
  <c r="U71" i="14"/>
  <c r="O61" i="14"/>
  <c r="S61" i="14" s="1"/>
  <c r="V61" i="14" s="1"/>
  <c r="W61" i="14" s="1"/>
  <c r="X61" i="14" s="1"/>
  <c r="AF37" i="14"/>
  <c r="AE73" i="14"/>
  <c r="U29" i="14"/>
  <c r="O75" i="14"/>
  <c r="S75" i="14" s="1"/>
  <c r="V75" i="14" s="1"/>
  <c r="W75" i="14" s="1"/>
  <c r="X75" i="14" s="1"/>
  <c r="Y75" i="14" s="1"/>
  <c r="Z75" i="14" s="1"/>
  <c r="O45" i="14"/>
  <c r="AX9" i="18" s="1"/>
  <c r="O29" i="14"/>
  <c r="S29" i="14" s="1"/>
  <c r="O82" i="14"/>
  <c r="S82" i="14" s="1"/>
  <c r="AD30" i="14"/>
  <c r="AE61" i="14"/>
  <c r="AG61" i="14" s="1"/>
  <c r="X13" i="15"/>
  <c r="X37" i="15"/>
  <c r="AE37" i="15"/>
  <c r="AG37" i="15" s="1"/>
  <c r="U50" i="16" s="1"/>
  <c r="AH50" i="16" s="1"/>
  <c r="U33" i="14"/>
  <c r="AF33" i="14"/>
  <c r="T43" i="14"/>
  <c r="AD33" i="14"/>
  <c r="O33" i="14"/>
  <c r="S33" i="14" s="1"/>
  <c r="U55" i="14"/>
  <c r="AE33" i="14"/>
  <c r="O37" i="14"/>
  <c r="S37" i="14" s="1"/>
  <c r="T37" i="14"/>
  <c r="T30" i="14"/>
  <c r="T31" i="14"/>
  <c r="O67" i="14"/>
  <c r="S67" i="14" s="1"/>
  <c r="V67" i="14" s="1"/>
  <c r="W67" i="14" s="1"/>
  <c r="X67" i="14" s="1"/>
  <c r="Y23" i="16" s="1"/>
  <c r="X14" i="15"/>
  <c r="X16" i="15"/>
  <c r="DM6" i="18"/>
  <c r="FO6" i="18" s="1"/>
  <c r="AE41" i="14"/>
  <c r="U42" i="14"/>
  <c r="O57" i="14"/>
  <c r="BB17" i="18" s="1"/>
  <c r="U35" i="14"/>
  <c r="AE86" i="14"/>
  <c r="AG51" i="16"/>
  <c r="AD35" i="14"/>
  <c r="AF65" i="14"/>
  <c r="AG21" i="16"/>
  <c r="U40" i="14"/>
  <c r="AG12" i="16"/>
  <c r="O65" i="14"/>
  <c r="S65" i="14" s="1"/>
  <c r="U86" i="14"/>
  <c r="O35" i="14"/>
  <c r="BC7" i="18" s="1"/>
  <c r="O41" i="14"/>
  <c r="S41" i="14" s="1"/>
  <c r="T86" i="14"/>
  <c r="AE54" i="14"/>
  <c r="AG54" i="14" s="1"/>
  <c r="AE35" i="14"/>
  <c r="T65" i="14"/>
  <c r="AD71" i="14"/>
  <c r="AD86" i="14"/>
  <c r="AE83" i="14"/>
  <c r="AG83" i="14" s="1"/>
  <c r="AG35" i="16"/>
  <c r="O71" i="14"/>
  <c r="T21" i="16" s="1"/>
  <c r="T54" i="14"/>
  <c r="T35" i="14"/>
  <c r="AF35" i="14"/>
  <c r="AD65" i="14"/>
  <c r="AG65" i="14" s="1"/>
  <c r="AF86" i="14"/>
  <c r="AE89" i="14"/>
  <c r="AG89" i="14" s="1"/>
  <c r="AG22" i="16"/>
  <c r="AG36" i="16"/>
  <c r="T89" i="14"/>
  <c r="V89" i="14" s="1"/>
  <c r="W89" i="14" s="1"/>
  <c r="X89" i="14" s="1"/>
  <c r="Y89" i="14" s="1"/>
  <c r="Z89" i="14" s="1"/>
  <c r="T83" i="14"/>
  <c r="V83" i="14" s="1"/>
  <c r="W83" i="14" s="1"/>
  <c r="X83" i="14" s="1"/>
  <c r="AE34" i="14"/>
  <c r="AE39" i="14"/>
  <c r="T38" i="14"/>
  <c r="O76" i="14"/>
  <c r="S76" i="14" s="1"/>
  <c r="T44" i="14"/>
  <c r="AE30" i="14"/>
  <c r="AE45" i="14"/>
  <c r="AG45" i="14" s="1"/>
  <c r="AD43" i="14"/>
  <c r="AD60" i="14"/>
  <c r="O43" i="14"/>
  <c r="S43" i="14" s="1"/>
  <c r="O59" i="14"/>
  <c r="S59" i="14" s="1"/>
  <c r="V59" i="14" s="1"/>
  <c r="W59" i="14" s="1"/>
  <c r="O50" i="14"/>
  <c r="S50" i="14" s="1"/>
  <c r="T50" i="14"/>
  <c r="O30" i="14"/>
  <c r="AY8" i="18" s="1"/>
  <c r="AD55" i="14"/>
  <c r="AE43" i="14"/>
  <c r="AE60" i="14"/>
  <c r="AG33" i="16"/>
  <c r="O60" i="14"/>
  <c r="S60" i="14" s="1"/>
  <c r="U43" i="14"/>
  <c r="O55" i="14"/>
  <c r="S55" i="14" s="1"/>
  <c r="AE84" i="14"/>
  <c r="AG84" i="14" s="1"/>
  <c r="AE59" i="14"/>
  <c r="AG59" i="14" s="1"/>
  <c r="AE69" i="14"/>
  <c r="U39" i="14"/>
  <c r="O56" i="14"/>
  <c r="S56" i="14" s="1"/>
  <c r="U68" i="14"/>
  <c r="O53" i="14"/>
  <c r="S53" i="14" s="1"/>
  <c r="O85" i="14"/>
  <c r="S85" i="14" s="1"/>
  <c r="O32" i="14"/>
  <c r="S32" i="14" s="1"/>
  <c r="O38" i="14"/>
  <c r="S38" i="14" s="1"/>
  <c r="AE74" i="14"/>
  <c r="AF68" i="14"/>
  <c r="AF28" i="14"/>
  <c r="AE38" i="14"/>
  <c r="AF39" i="14"/>
  <c r="U74" i="14"/>
  <c r="O68" i="14"/>
  <c r="S68" i="14" s="1"/>
  <c r="O69" i="14"/>
  <c r="S69" i="14" s="1"/>
  <c r="T77" i="14"/>
  <c r="V77" i="14" s="1"/>
  <c r="W77" i="14" s="1"/>
  <c r="X77" i="14" s="1"/>
  <c r="Y43" i="16" s="1"/>
  <c r="T68" i="14"/>
  <c r="U28" i="14"/>
  <c r="AD56" i="14"/>
  <c r="AD28" i="14"/>
  <c r="AF38" i="14"/>
  <c r="AD39" i="14"/>
  <c r="AG26" i="16"/>
  <c r="AG40" i="16"/>
  <c r="U56" i="14"/>
  <c r="U85" i="14"/>
  <c r="O31" i="14"/>
  <c r="S31" i="14" s="1"/>
  <c r="O28" i="14"/>
  <c r="S28" i="14" s="1"/>
  <c r="AE68" i="14"/>
  <c r="AE28" i="14"/>
  <c r="AD85" i="14"/>
  <c r="AD74" i="14"/>
  <c r="AF73" i="14"/>
  <c r="AF46" i="14"/>
  <c r="O74" i="14"/>
  <c r="T26" i="16" s="1"/>
  <c r="AF57" i="14"/>
  <c r="T49" i="14"/>
  <c r="AE49" i="14"/>
  <c r="U36" i="14"/>
  <c r="T36" i="14"/>
  <c r="O36" i="14"/>
  <c r="AW15" i="18" s="1"/>
  <c r="AF55" i="14"/>
  <c r="T55" i="14"/>
  <c r="AG48" i="16"/>
  <c r="AE82" i="14"/>
  <c r="T82" i="14"/>
  <c r="AG32" i="16"/>
  <c r="AD68" i="14"/>
  <c r="AE66" i="14"/>
  <c r="T66" i="14"/>
  <c r="U57" i="14"/>
  <c r="AF49" i="14"/>
  <c r="AD82" i="14"/>
  <c r="AG82" i="14" s="1"/>
  <c r="AE44" i="14"/>
  <c r="AG44" i="14" s="1"/>
  <c r="AH44" i="14" s="1"/>
  <c r="AE36" i="14"/>
  <c r="AE56" i="14"/>
  <c r="AE77" i="14"/>
  <c r="AG77" i="14" s="1"/>
  <c r="AE42" i="14"/>
  <c r="AD42" i="14"/>
  <c r="T42" i="14"/>
  <c r="V42" i="14" s="1"/>
  <c r="W42" i="14" s="1"/>
  <c r="AE29" i="14"/>
  <c r="AD29" i="14"/>
  <c r="T29" i="14"/>
  <c r="AE55" i="14"/>
  <c r="AE85" i="14"/>
  <c r="T85" i="14"/>
  <c r="AE50" i="14"/>
  <c r="AG50" i="14" s="1"/>
  <c r="T56" i="14"/>
  <c r="AF53" i="14"/>
  <c r="AF42" i="14"/>
  <c r="AE57" i="14"/>
  <c r="AD57" i="14"/>
  <c r="AD73" i="14"/>
  <c r="AG25" i="16"/>
  <c r="AG39" i="16"/>
  <c r="T69" i="14"/>
  <c r="T39" i="14"/>
  <c r="AE71" i="14"/>
  <c r="T74" i="14"/>
  <c r="T47" i="14"/>
  <c r="T72" i="14"/>
  <c r="O72" i="14"/>
  <c r="AE72" i="14"/>
  <c r="AG72" i="14" s="1"/>
  <c r="AG44" i="16"/>
  <c r="T87" i="14"/>
  <c r="AF87" i="14"/>
  <c r="AD32" i="14"/>
  <c r="T32" i="14"/>
  <c r="U32" i="14"/>
  <c r="AF34" i="14"/>
  <c r="AE87" i="14"/>
  <c r="AE75" i="14"/>
  <c r="AG75" i="14" s="1"/>
  <c r="T71" i="14"/>
  <c r="AE32" i="14"/>
  <c r="AE37" i="14"/>
  <c r="T34" i="14"/>
  <c r="U87" i="14"/>
  <c r="O58" i="14"/>
  <c r="S58" i="14" s="1"/>
  <c r="T41" i="14"/>
  <c r="AF41" i="14"/>
  <c r="AD41" i="14"/>
  <c r="U41" i="14"/>
  <c r="U30" i="14"/>
  <c r="AE81" i="14"/>
  <c r="T81" i="14"/>
  <c r="O81" i="14"/>
  <c r="S81" i="14" s="1"/>
  <c r="AE31" i="14"/>
  <c r="AD31" i="14"/>
  <c r="U34" i="14"/>
  <c r="O34" i="14"/>
  <c r="S34" i="14" s="1"/>
  <c r="AD34" i="14"/>
  <c r="O87" i="14"/>
  <c r="AF36" i="14"/>
  <c r="AD36" i="14"/>
  <c r="AF69" i="14"/>
  <c r="U69" i="14"/>
  <c r="AD87" i="14"/>
  <c r="X18" i="15"/>
  <c r="X17" i="15"/>
  <c r="X15" i="15"/>
  <c r="X9" i="15"/>
  <c r="X41" i="15"/>
  <c r="AD13" i="15"/>
  <c r="AG13" i="15" s="1"/>
  <c r="AM13" i="15" s="1"/>
  <c r="X23" i="15"/>
  <c r="X10" i="15"/>
  <c r="X31" i="15"/>
  <c r="X27" i="15"/>
  <c r="X12" i="15"/>
  <c r="X24" i="15"/>
  <c r="X22" i="15"/>
  <c r="AG33" i="15"/>
  <c r="U33" i="16" s="1"/>
  <c r="AG12" i="15"/>
  <c r="AM12" i="15" s="1"/>
  <c r="AG17" i="15"/>
  <c r="AM17" i="15" s="1"/>
  <c r="AG16" i="15"/>
  <c r="AM16" i="15" s="1"/>
  <c r="AG24" i="15"/>
  <c r="U13" i="16" s="1"/>
  <c r="AH13" i="16" s="1"/>
  <c r="AG29" i="15"/>
  <c r="U29" i="16" s="1"/>
  <c r="AG10" i="15"/>
  <c r="AM10" i="15" s="1"/>
  <c r="AG23" i="15"/>
  <c r="AM23" i="15" s="1"/>
  <c r="AG15" i="15"/>
  <c r="AM15" i="15" s="1"/>
  <c r="AG14" i="15"/>
  <c r="U27" i="16" s="1"/>
  <c r="AH27" i="16" s="1"/>
  <c r="AG8" i="15"/>
  <c r="U14" i="16" s="1"/>
  <c r="AD64" i="14"/>
  <c r="AG30" i="16"/>
  <c r="AG16" i="16"/>
  <c r="AF58" i="14"/>
  <c r="AD58" i="14"/>
  <c r="T70" i="14"/>
  <c r="AF70" i="14"/>
  <c r="AD70" i="14"/>
  <c r="U58" i="14"/>
  <c r="AG34" i="16"/>
  <c r="AG20" i="16"/>
  <c r="X33" i="15"/>
  <c r="T46" i="14"/>
  <c r="O46" i="14"/>
  <c r="S46" i="14" s="1"/>
  <c r="O47" i="14"/>
  <c r="AZ9" i="18" s="1"/>
  <c r="AE47" i="14"/>
  <c r="AG47" i="14" s="1"/>
  <c r="DM7" i="18"/>
  <c r="FO7" i="18" s="1"/>
  <c r="O64" i="14"/>
  <c r="T16" i="16" s="1"/>
  <c r="T51" i="14"/>
  <c r="O51" i="14"/>
  <c r="BC10" i="18" s="1"/>
  <c r="AF51" i="14"/>
  <c r="AD51" i="14"/>
  <c r="AE53" i="14"/>
  <c r="T53" i="14"/>
  <c r="AE76" i="14"/>
  <c r="AG42" i="16"/>
  <c r="U76" i="14"/>
  <c r="AF76" i="14"/>
  <c r="AD76" i="14"/>
  <c r="T54" i="16"/>
  <c r="U51" i="14"/>
  <c r="T76" i="14"/>
  <c r="FP10" i="18"/>
  <c r="DM14" i="18"/>
  <c r="FO14" i="18" s="1"/>
  <c r="U46" i="14"/>
  <c r="AE46" i="14"/>
  <c r="DM10" i="18"/>
  <c r="FO10" i="18" s="1"/>
  <c r="AE58" i="14"/>
  <c r="AG41" i="15"/>
  <c r="AN41" i="15" s="1"/>
  <c r="T64" i="14"/>
  <c r="DM5" i="18"/>
  <c r="FO5" i="18" s="1"/>
  <c r="T58" i="14"/>
  <c r="AE64" i="14"/>
  <c r="AE51" i="14"/>
  <c r="O70" i="14"/>
  <c r="U70" i="14"/>
  <c r="AF64" i="14"/>
  <c r="U64" i="14"/>
  <c r="FP6" i="18"/>
  <c r="AG11" i="15"/>
  <c r="AM11" i="15" s="1"/>
  <c r="FP13" i="18"/>
  <c r="DM16" i="18"/>
  <c r="FO16" i="18" s="1"/>
  <c r="FP11" i="18"/>
  <c r="FP17" i="18"/>
  <c r="FP20" i="18"/>
  <c r="DM19" i="18"/>
  <c r="FO19" i="18" s="1"/>
  <c r="DM20" i="18"/>
  <c r="FO20" i="18" s="1"/>
  <c r="DM17" i="18"/>
  <c r="FO17" i="18" s="1"/>
  <c r="AG22" i="15"/>
  <c r="AM22" i="15" s="1"/>
  <c r="X20" i="15"/>
  <c r="X26" i="15"/>
  <c r="FP15" i="18"/>
  <c r="FP18" i="18"/>
  <c r="FP12" i="18"/>
  <c r="DM18" i="18"/>
  <c r="FO18" i="18" s="1"/>
  <c r="DM15" i="18"/>
  <c r="FO15" i="18" s="1"/>
  <c r="AG9" i="15"/>
  <c r="AN9" i="15" s="1"/>
  <c r="FP8" i="18"/>
  <c r="T62" i="14"/>
  <c r="AG14" i="16"/>
  <c r="AG28" i="16"/>
  <c r="AF62" i="14"/>
  <c r="AD62" i="14"/>
  <c r="U62" i="14"/>
  <c r="O62" i="14"/>
  <c r="AE62" i="14"/>
  <c r="AF63" i="14"/>
  <c r="AG15" i="16"/>
  <c r="AE63" i="14"/>
  <c r="T63" i="14"/>
  <c r="AD63" i="14"/>
  <c r="U63" i="14"/>
  <c r="AG29" i="16"/>
  <c r="O63" i="14"/>
  <c r="AY19" i="18"/>
  <c r="AY20" i="18"/>
  <c r="AY18" i="18"/>
  <c r="S54" i="14"/>
  <c r="DM9" i="18"/>
  <c r="FO9" i="18" s="1"/>
  <c r="DM11" i="18"/>
  <c r="FO11" i="18" s="1"/>
  <c r="FP5" i="18"/>
  <c r="DM8" i="18"/>
  <c r="FO8" i="18" s="1"/>
  <c r="DM12" i="18"/>
  <c r="FO12" i="18" s="1"/>
  <c r="X35" i="15"/>
  <c r="DM13" i="18"/>
  <c r="FO13" i="18" s="1"/>
  <c r="FP9" i="18"/>
  <c r="AG79" i="14"/>
  <c r="AI8" i="15"/>
  <c r="AI29" i="15"/>
  <c r="AK29" i="15"/>
  <c r="AK8" i="15"/>
  <c r="AJ8" i="15"/>
  <c r="AJ29" i="15"/>
  <c r="AH29" i="15"/>
  <c r="AH8" i="15"/>
  <c r="AG88" i="14"/>
  <c r="AG80" i="14"/>
  <c r="AG27" i="15"/>
  <c r="AM27" i="15" s="1"/>
  <c r="AG18" i="15"/>
  <c r="AN18" i="15" s="1"/>
  <c r="AG31" i="15"/>
  <c r="AN31" i="15" s="1"/>
  <c r="AG20" i="15"/>
  <c r="AM20" i="15" s="1"/>
  <c r="FP14" i="18"/>
  <c r="FP16" i="18"/>
  <c r="FP7" i="18"/>
  <c r="FP19" i="18"/>
  <c r="AH10" i="15"/>
  <c r="D34" i="10"/>
  <c r="AH31" i="15"/>
  <c r="AH37" i="15"/>
  <c r="AH42" i="15"/>
  <c r="AH41" i="15"/>
  <c r="AH40" i="15"/>
  <c r="AH39" i="15"/>
  <c r="AH38" i="15"/>
  <c r="AH36" i="15"/>
  <c r="AH34" i="15"/>
  <c r="AH33" i="15"/>
  <c r="AH24" i="15"/>
  <c r="AH17" i="15"/>
  <c r="AH26" i="15"/>
  <c r="AH25" i="15"/>
  <c r="AH12" i="15"/>
  <c r="AH35" i="15"/>
  <c r="AH22" i="15"/>
  <c r="AH16" i="15"/>
  <c r="AH23" i="15"/>
  <c r="AH30" i="15"/>
  <c r="AH20" i="15"/>
  <c r="AH21" i="15"/>
  <c r="D29" i="10"/>
  <c r="AH27" i="15"/>
  <c r="AH18" i="15"/>
  <c r="AH14" i="15"/>
  <c r="AH28" i="15"/>
  <c r="AH19" i="15"/>
  <c r="AH13" i="15"/>
  <c r="AH9" i="15"/>
  <c r="AH11" i="15"/>
  <c r="AH15" i="15"/>
  <c r="AH32" i="15"/>
  <c r="AJ41" i="15"/>
  <c r="T55" i="16"/>
  <c r="D38" i="10"/>
  <c r="AK10" i="15"/>
  <c r="AK13" i="15"/>
  <c r="AK12" i="15"/>
  <c r="D33" i="10"/>
  <c r="AK27" i="15"/>
  <c r="AK41" i="15"/>
  <c r="AK9" i="15"/>
  <c r="AK31" i="15"/>
  <c r="AK18" i="15"/>
  <c r="AK40" i="15"/>
  <c r="AK36" i="15"/>
  <c r="AK37" i="15"/>
  <c r="AK34" i="15"/>
  <c r="AK21" i="15"/>
  <c r="AK33" i="15"/>
  <c r="AK22" i="15"/>
  <c r="AK15" i="15"/>
  <c r="AK38" i="15"/>
  <c r="AK35" i="15"/>
  <c r="AK23" i="15"/>
  <c r="AK24" i="15"/>
  <c r="AK28" i="15"/>
  <c r="AK19" i="15"/>
  <c r="AK16" i="15"/>
  <c r="AK20" i="15"/>
  <c r="AK26" i="15"/>
  <c r="AK42" i="15"/>
  <c r="AK32" i="15"/>
  <c r="AK17" i="15"/>
  <c r="AK14" i="15"/>
  <c r="AK30" i="15"/>
  <c r="AK11" i="15"/>
  <c r="AK39" i="15"/>
  <c r="AK25" i="15"/>
  <c r="D23" i="10"/>
  <c r="D30" i="10"/>
  <c r="AJ42" i="15"/>
  <c r="AJ38" i="15"/>
  <c r="AJ40" i="15"/>
  <c r="AJ37" i="15"/>
  <c r="AJ39" i="15"/>
  <c r="AJ36" i="15"/>
  <c r="AJ28" i="15"/>
  <c r="AJ19" i="15"/>
  <c r="AJ30" i="15"/>
  <c r="AJ20" i="15"/>
  <c r="AJ35" i="15"/>
  <c r="AJ32" i="15"/>
  <c r="AJ26" i="15"/>
  <c r="AJ25" i="15"/>
  <c r="AJ31" i="15"/>
  <c r="AJ27" i="15"/>
  <c r="AJ18" i="15"/>
  <c r="AJ34" i="15"/>
  <c r="AJ21" i="15"/>
  <c r="AJ22" i="15"/>
  <c r="AJ16" i="15"/>
  <c r="AJ13" i="15"/>
  <c r="D32" i="10"/>
  <c r="AJ14" i="15"/>
  <c r="AJ33" i="15"/>
  <c r="AJ17" i="15"/>
  <c r="AJ10" i="15"/>
  <c r="AJ23" i="15"/>
  <c r="AJ24" i="15"/>
  <c r="AJ9" i="15"/>
  <c r="AJ11" i="15"/>
  <c r="AJ15" i="15"/>
  <c r="AJ12" i="15"/>
  <c r="D37" i="10"/>
  <c r="T49" i="16"/>
  <c r="V80" i="14"/>
  <c r="W80" i="14" s="1"/>
  <c r="X80" i="14" s="1"/>
  <c r="Y80" i="14" s="1"/>
  <c r="Z80" i="14" s="1"/>
  <c r="AG36" i="15"/>
  <c r="U42" i="16" s="1"/>
  <c r="X11" i="15"/>
  <c r="AF26" i="15"/>
  <c r="AG26" i="15" s="1"/>
  <c r="X42" i="15"/>
  <c r="AF30" i="15"/>
  <c r="AG30" i="15" s="1"/>
  <c r="X30" i="15"/>
  <c r="AG42" i="15"/>
  <c r="X36" i="15"/>
  <c r="AE38" i="15"/>
  <c r="AG38" i="15" s="1"/>
  <c r="AN38" i="15" s="1"/>
  <c r="X38" i="15"/>
  <c r="AG35" i="15"/>
  <c r="AN35" i="15" s="1"/>
  <c r="AW11" i="18"/>
  <c r="AW10" i="18"/>
  <c r="AW12" i="18"/>
  <c r="AW9" i="18"/>
  <c r="AG32" i="15"/>
  <c r="AG39" i="15"/>
  <c r="X19" i="15"/>
  <c r="AG21" i="15"/>
  <c r="X32" i="15"/>
  <c r="AG34" i="15"/>
  <c r="X28" i="15"/>
  <c r="AG19" i="15"/>
  <c r="X21" i="15"/>
  <c r="X34" i="15"/>
  <c r="AG28" i="15"/>
  <c r="AG25" i="15"/>
  <c r="X40" i="15"/>
  <c r="X39" i="15"/>
  <c r="X25" i="15"/>
  <c r="AG40" i="15"/>
  <c r="AX15" i="18"/>
  <c r="AZ14" i="18"/>
  <c r="AZ15" i="18"/>
  <c r="AZ13" i="18"/>
  <c r="AZ16" i="18"/>
  <c r="T43" i="16"/>
  <c r="T46" i="16"/>
  <c r="T44" i="16"/>
  <c r="BB9" i="18"/>
  <c r="AI26" i="15"/>
  <c r="AI14" i="15"/>
  <c r="AI28" i="15"/>
  <c r="AI16" i="15"/>
  <c r="AI17" i="15"/>
  <c r="AI27" i="15"/>
  <c r="AI37" i="15"/>
  <c r="AI21" i="15"/>
  <c r="AI20" i="15"/>
  <c r="AI41" i="15"/>
  <c r="AI22" i="15"/>
  <c r="AI31" i="15"/>
  <c r="AI35" i="15"/>
  <c r="AI42" i="15"/>
  <c r="AI40" i="15"/>
  <c r="AI23" i="15"/>
  <c r="AI10" i="15"/>
  <c r="AI25" i="15"/>
  <c r="AI13" i="15"/>
  <c r="AI11" i="15"/>
  <c r="AI12" i="15"/>
  <c r="AI36" i="15"/>
  <c r="AI34" i="15"/>
  <c r="AI39" i="15"/>
  <c r="D35" i="10"/>
  <c r="AI32" i="15"/>
  <c r="AI15" i="15"/>
  <c r="AI19" i="15"/>
  <c r="AI30" i="15"/>
  <c r="AI38" i="15"/>
  <c r="AI18" i="15"/>
  <c r="AI24" i="15"/>
  <c r="AI33" i="15"/>
  <c r="AI9" i="15"/>
  <c r="V88" i="14"/>
  <c r="W88" i="14" s="1"/>
  <c r="X88" i="14" s="1"/>
  <c r="FN17" i="18" l="1"/>
  <c r="FN5" i="18"/>
  <c r="FN6" i="18"/>
  <c r="FN11" i="18"/>
  <c r="FN8" i="18"/>
  <c r="FN19" i="18"/>
  <c r="V60" i="14"/>
  <c r="W60" i="14" s="1"/>
  <c r="X60" i="14" s="1"/>
  <c r="T39" i="16"/>
  <c r="BC14" i="18"/>
  <c r="AW20" i="18"/>
  <c r="V79" i="14"/>
  <c r="W79" i="14" s="1"/>
  <c r="X79" i="14" s="1"/>
  <c r="Y45" i="16" s="1"/>
  <c r="AX6" i="18"/>
  <c r="T25" i="16"/>
  <c r="BA10" i="18"/>
  <c r="AX7" i="18"/>
  <c r="AW6" i="18"/>
  <c r="T31" i="16"/>
  <c r="AW17" i="18"/>
  <c r="BA11" i="18"/>
  <c r="AG53" i="14"/>
  <c r="AH53" i="14" s="1"/>
  <c r="AI53" i="14" s="1"/>
  <c r="AJ53" i="14" s="1"/>
  <c r="AK53" i="14" s="1"/>
  <c r="BB8" i="18"/>
  <c r="AW19" i="18"/>
  <c r="AG40" i="14"/>
  <c r="AH40" i="14" s="1"/>
  <c r="AI40" i="14" s="1"/>
  <c r="AJ40" i="14" s="1"/>
  <c r="AK40" i="14" s="1"/>
  <c r="AX8" i="18"/>
  <c r="T17" i="16"/>
  <c r="BB6" i="18"/>
  <c r="AX5" i="18"/>
  <c r="T50" i="16"/>
  <c r="W50" i="16" s="1"/>
  <c r="T45" i="16"/>
  <c r="AW18" i="18"/>
  <c r="V66" i="14"/>
  <c r="W66" i="14" s="1"/>
  <c r="X66" i="14" s="1"/>
  <c r="Y66" i="14" s="1"/>
  <c r="Z66" i="14" s="1"/>
  <c r="AX11" i="18"/>
  <c r="AX10" i="18"/>
  <c r="AG73" i="14"/>
  <c r="AH73" i="14" s="1"/>
  <c r="AI73" i="14" s="1"/>
  <c r="AZ17" i="18"/>
  <c r="V39" i="14"/>
  <c r="W39" i="14" s="1"/>
  <c r="X39" i="14" s="1"/>
  <c r="AG66" i="14"/>
  <c r="AH66" i="14" s="1"/>
  <c r="AI66" i="14" s="1"/>
  <c r="V48" i="14"/>
  <c r="W48" i="14" s="1"/>
  <c r="X48" i="14" s="1"/>
  <c r="BI9" i="18" s="1"/>
  <c r="BB10" i="18"/>
  <c r="BA9" i="18"/>
  <c r="BB11" i="18"/>
  <c r="BA12" i="18"/>
  <c r="AG81" i="14"/>
  <c r="AH81" i="14" s="1"/>
  <c r="AI81" i="14" s="1"/>
  <c r="AJ81" i="14" s="1"/>
  <c r="AK81" i="14" s="1"/>
  <c r="V73" i="14"/>
  <c r="W73" i="14" s="1"/>
  <c r="X73" i="14" s="1"/>
  <c r="Y73" i="14" s="1"/>
  <c r="Z73" i="14" s="1"/>
  <c r="T23" i="16"/>
  <c r="T33" i="16"/>
  <c r="W33" i="16" s="1"/>
  <c r="AG85" i="14"/>
  <c r="AH85" i="14" s="1"/>
  <c r="AI85" i="14" s="1"/>
  <c r="S45" i="14"/>
  <c r="V45" i="14" s="1"/>
  <c r="W45" i="14" s="1"/>
  <c r="X45" i="14" s="1"/>
  <c r="BF11" i="18" s="1"/>
  <c r="AG33" i="14"/>
  <c r="AH33" i="14" s="1"/>
  <c r="AI33" i="14" s="1"/>
  <c r="AJ33" i="14" s="1"/>
  <c r="AK33" i="14" s="1"/>
  <c r="BB12" i="18"/>
  <c r="T37" i="16"/>
  <c r="FR15" i="18"/>
  <c r="FS15" i="18" s="1"/>
  <c r="AG56" i="14"/>
  <c r="AH56" i="14" s="1"/>
  <c r="AI56" i="14" s="1"/>
  <c r="AJ56" i="14" s="1"/>
  <c r="AK56" i="14" s="1"/>
  <c r="AX12" i="18"/>
  <c r="T52" i="16"/>
  <c r="AG70" i="14"/>
  <c r="AH70" i="14" s="1"/>
  <c r="AI70" i="14" s="1"/>
  <c r="AI20" i="16" s="1"/>
  <c r="AX13" i="18"/>
  <c r="AX17" i="18"/>
  <c r="AG37" i="14"/>
  <c r="AH37" i="14" s="1"/>
  <c r="AI37" i="14" s="1"/>
  <c r="AJ37" i="14" s="1"/>
  <c r="AK37" i="14" s="1"/>
  <c r="V40" i="14"/>
  <c r="W40" i="14" s="1"/>
  <c r="X40" i="14" s="1"/>
  <c r="T13" i="16"/>
  <c r="T41" i="16"/>
  <c r="AH77" i="14"/>
  <c r="AI77" i="14" s="1"/>
  <c r="AH82" i="14"/>
  <c r="AI82" i="14" s="1"/>
  <c r="AH59" i="14"/>
  <c r="AI59" i="14" s="1"/>
  <c r="AJ59" i="14" s="1"/>
  <c r="AK59" i="14" s="1"/>
  <c r="U25" i="16"/>
  <c r="AG68" i="14"/>
  <c r="AH84" i="14"/>
  <c r="AI84" i="14" s="1"/>
  <c r="AH89" i="14"/>
  <c r="AI89" i="14" s="1"/>
  <c r="AH83" i="14"/>
  <c r="AI83" i="14" s="1"/>
  <c r="T27" i="16"/>
  <c r="W27" i="16" s="1"/>
  <c r="BB18" i="18"/>
  <c r="AH80" i="14"/>
  <c r="AI80" i="14" s="1"/>
  <c r="AH79" i="14"/>
  <c r="AI79" i="14" s="1"/>
  <c r="AH48" i="14"/>
  <c r="AI48" i="14" s="1"/>
  <c r="AJ48" i="14" s="1"/>
  <c r="AK48" i="14" s="1"/>
  <c r="AW16" i="18"/>
  <c r="FR6" i="18"/>
  <c r="AH72" i="14"/>
  <c r="AI72" i="14" s="1"/>
  <c r="AH50" i="14"/>
  <c r="AI50" i="14" s="1"/>
  <c r="AJ50" i="14" s="1"/>
  <c r="AK50" i="14" s="1"/>
  <c r="V29" i="14"/>
  <c r="W29" i="14" s="1"/>
  <c r="X29" i="14" s="1"/>
  <c r="BF8" i="18" s="1"/>
  <c r="AH45" i="14"/>
  <c r="AI45" i="14" s="1"/>
  <c r="AJ45" i="14" s="1"/>
  <c r="AK45" i="14" s="1"/>
  <c r="AH54" i="14"/>
  <c r="AI54" i="14" s="1"/>
  <c r="AJ54" i="14" s="1"/>
  <c r="AK54" i="14" s="1"/>
  <c r="V37" i="14"/>
  <c r="W37" i="14" s="1"/>
  <c r="X37" i="14" s="1"/>
  <c r="AH61" i="14"/>
  <c r="AI61" i="14" s="1"/>
  <c r="AH88" i="14"/>
  <c r="AI88" i="14" s="1"/>
  <c r="AH75" i="14"/>
  <c r="AI75" i="14" s="1"/>
  <c r="BA5" i="18"/>
  <c r="T48" i="16"/>
  <c r="V76" i="14"/>
  <c r="W76" i="14" s="1"/>
  <c r="X76" i="14" s="1"/>
  <c r="Y42" i="16" s="1"/>
  <c r="AH47" i="14"/>
  <c r="AI47" i="14" s="1"/>
  <c r="AJ47" i="14" s="1"/>
  <c r="AK47" i="14" s="1"/>
  <c r="V82" i="14"/>
  <c r="W82" i="14" s="1"/>
  <c r="X82" i="14" s="1"/>
  <c r="Y82" i="14" s="1"/>
  <c r="Z82" i="14" s="1"/>
  <c r="AG30" i="14"/>
  <c r="AH65" i="14"/>
  <c r="AI65" i="14" s="1"/>
  <c r="AH67" i="14"/>
  <c r="AI67" i="14" s="1"/>
  <c r="AI37" i="16" s="1"/>
  <c r="FR12" i="18"/>
  <c r="FS12" i="18" s="1"/>
  <c r="AG69" i="14"/>
  <c r="AG74" i="14"/>
  <c r="BB13" i="18"/>
  <c r="BB20" i="18"/>
  <c r="AW14" i="18"/>
  <c r="S57" i="14"/>
  <c r="V57" i="14" s="1"/>
  <c r="W57" i="14" s="1"/>
  <c r="AG86" i="14"/>
  <c r="V86" i="14"/>
  <c r="W86" i="14" s="1"/>
  <c r="X86" i="14" s="1"/>
  <c r="Y52" i="16" s="1"/>
  <c r="BB19" i="18"/>
  <c r="T32" i="16"/>
  <c r="AH33" i="16"/>
  <c r="U47" i="16"/>
  <c r="AH47" i="16" s="1"/>
  <c r="V65" i="14"/>
  <c r="W65" i="14" s="1"/>
  <c r="X65" i="14" s="1"/>
  <c r="Y22" i="16" s="1"/>
  <c r="AG87" i="14"/>
  <c r="AG76" i="14"/>
  <c r="V85" i="14"/>
  <c r="W85" i="14" s="1"/>
  <c r="X85" i="14" s="1"/>
  <c r="Y51" i="16" s="1"/>
  <c r="AG71" i="14"/>
  <c r="V69" i="14"/>
  <c r="W69" i="14" s="1"/>
  <c r="X69" i="14" s="1"/>
  <c r="Y33" i="16" s="1"/>
  <c r="V68" i="14"/>
  <c r="W68" i="14" s="1"/>
  <c r="X68" i="14" s="1"/>
  <c r="Y32" i="16" s="1"/>
  <c r="BB5" i="18"/>
  <c r="V50" i="14"/>
  <c r="W50" i="14" s="1"/>
  <c r="X50" i="14" s="1"/>
  <c r="Y50" i="14" s="1"/>
  <c r="Z50" i="14" s="1"/>
  <c r="AZ6" i="18"/>
  <c r="V56" i="14"/>
  <c r="W56" i="14" s="1"/>
  <c r="X56" i="14" s="1"/>
  <c r="BB7" i="18"/>
  <c r="AG38" i="14"/>
  <c r="BC5" i="18"/>
  <c r="AG29" i="14"/>
  <c r="FR5" i="18"/>
  <c r="FS5" i="18" s="1"/>
  <c r="AX14" i="18"/>
  <c r="BC8" i="18"/>
  <c r="V38" i="14"/>
  <c r="W38" i="14" s="1"/>
  <c r="V54" i="14"/>
  <c r="W54" i="14" s="1"/>
  <c r="X54" i="14" s="1"/>
  <c r="AG49" i="14"/>
  <c r="S35" i="14"/>
  <c r="V35" i="14" s="1"/>
  <c r="W35" i="14" s="1"/>
  <c r="X35" i="14" s="1"/>
  <c r="AX16" i="18"/>
  <c r="BC6" i="18"/>
  <c r="AZ10" i="18"/>
  <c r="AG32" i="14"/>
  <c r="V43" i="14"/>
  <c r="W43" i="14" s="1"/>
  <c r="X43" i="14" s="1"/>
  <c r="T12" i="16"/>
  <c r="T35" i="16"/>
  <c r="AZ20" i="18"/>
  <c r="AZ19" i="18"/>
  <c r="AZ18" i="18"/>
  <c r="BC18" i="18"/>
  <c r="V55" i="14"/>
  <c r="W55" i="14" s="1"/>
  <c r="V31" i="14"/>
  <c r="W31" i="14" s="1"/>
  <c r="X31" i="14" s="1"/>
  <c r="BH7" i="18" s="1"/>
  <c r="BA6" i="18"/>
  <c r="AW7" i="18"/>
  <c r="S36" i="14"/>
  <c r="V36" i="14" s="1"/>
  <c r="W36" i="14" s="1"/>
  <c r="AG60" i="14"/>
  <c r="S71" i="14"/>
  <c r="V71" i="14" s="1"/>
  <c r="W71" i="14" s="1"/>
  <c r="X71" i="14" s="1"/>
  <c r="Y71" i="14" s="1"/>
  <c r="Z71" i="14" s="1"/>
  <c r="BA8" i="18"/>
  <c r="AW8" i="18"/>
  <c r="T47" i="16"/>
  <c r="AW13" i="18"/>
  <c r="BC13" i="18"/>
  <c r="BC16" i="18"/>
  <c r="BC15" i="18"/>
  <c r="BA7" i="18"/>
  <c r="AW5" i="18"/>
  <c r="T18" i="16"/>
  <c r="T19" i="16"/>
  <c r="AG35" i="14"/>
  <c r="T22" i="16"/>
  <c r="AG46" i="14"/>
  <c r="T36" i="16"/>
  <c r="AG64" i="14"/>
  <c r="AG28" i="14"/>
  <c r="BB14" i="18"/>
  <c r="AY14" i="18"/>
  <c r="AY5" i="18"/>
  <c r="AY6" i="18"/>
  <c r="AY7" i="18"/>
  <c r="AZ7" i="18"/>
  <c r="BB15" i="18"/>
  <c r="AY15" i="18"/>
  <c r="AY13" i="18"/>
  <c r="AZ5" i="18"/>
  <c r="BA19" i="18"/>
  <c r="T42" i="16"/>
  <c r="W42" i="16" s="1"/>
  <c r="AZ8" i="18"/>
  <c r="BB16" i="18"/>
  <c r="AY16" i="18"/>
  <c r="S30" i="14"/>
  <c r="V30" i="14" s="1"/>
  <c r="W30" i="14" s="1"/>
  <c r="X30" i="14" s="1"/>
  <c r="S51" i="14"/>
  <c r="V51" i="14" s="1"/>
  <c r="W51" i="14" s="1"/>
  <c r="X51" i="14" s="1"/>
  <c r="AG42" i="14"/>
  <c r="AG39" i="14"/>
  <c r="V53" i="14"/>
  <c r="W53" i="14" s="1"/>
  <c r="X53" i="14" s="1"/>
  <c r="BF19" i="18" s="1"/>
  <c r="AG43" i="14"/>
  <c r="BA20" i="18"/>
  <c r="BC20" i="18"/>
  <c r="AX18" i="18"/>
  <c r="V58" i="14"/>
  <c r="W58" i="14" s="1"/>
  <c r="BC19" i="18"/>
  <c r="AX19" i="18"/>
  <c r="BA18" i="18"/>
  <c r="BA17" i="18"/>
  <c r="BC17" i="18"/>
  <c r="AX20" i="18"/>
  <c r="AG55" i="14"/>
  <c r="V32" i="14"/>
  <c r="W32" i="14" s="1"/>
  <c r="X32" i="14" s="1"/>
  <c r="BI8" i="18" s="1"/>
  <c r="AG57" i="14"/>
  <c r="T51" i="16"/>
  <c r="S74" i="14"/>
  <c r="V74" i="14" s="1"/>
  <c r="W74" i="14" s="1"/>
  <c r="X74" i="14" s="1"/>
  <c r="Y74" i="14" s="1"/>
  <c r="Z74" i="14" s="1"/>
  <c r="T40" i="16"/>
  <c r="AG51" i="14"/>
  <c r="AG34" i="14"/>
  <c r="V34" i="14"/>
  <c r="W34" i="14" s="1"/>
  <c r="X34" i="14" s="1"/>
  <c r="Y34" i="14" s="1"/>
  <c r="Z34" i="14" s="1"/>
  <c r="AI44" i="14"/>
  <c r="AJ44" i="14" s="1"/>
  <c r="AK44" i="14" s="1"/>
  <c r="AZ12" i="18"/>
  <c r="BC9" i="18"/>
  <c r="BC12" i="18"/>
  <c r="BC11" i="18"/>
  <c r="S72" i="14"/>
  <c r="V72" i="14" s="1"/>
  <c r="W72" i="14" s="1"/>
  <c r="X72" i="14" s="1"/>
  <c r="Y72" i="14" s="1"/>
  <c r="Z72" i="14" s="1"/>
  <c r="T24" i="16"/>
  <c r="T38" i="16"/>
  <c r="AG41" i="14"/>
  <c r="AG36" i="14"/>
  <c r="AG31" i="14"/>
  <c r="V46" i="14"/>
  <c r="W46" i="14" s="1"/>
  <c r="X46" i="14" s="1"/>
  <c r="BG9" i="18" s="1"/>
  <c r="AY11" i="18"/>
  <c r="AG58" i="14"/>
  <c r="S87" i="14"/>
  <c r="V87" i="14" s="1"/>
  <c r="W87" i="14" s="1"/>
  <c r="X87" i="14" s="1"/>
  <c r="Y53" i="16" s="1"/>
  <c r="T53" i="16"/>
  <c r="AH42" i="16"/>
  <c r="FR10" i="18"/>
  <c r="FS10" i="18" s="1"/>
  <c r="FR13" i="18"/>
  <c r="FS13" i="18" s="1"/>
  <c r="FR17" i="18"/>
  <c r="FS17" i="18" s="1"/>
  <c r="AM29" i="15"/>
  <c r="U17" i="16"/>
  <c r="AH17" i="16" s="1"/>
  <c r="AN12" i="15"/>
  <c r="AP12" i="15" s="1"/>
  <c r="AN8" i="15"/>
  <c r="AN11" i="15"/>
  <c r="AP11" i="15" s="1"/>
  <c r="AM33" i="15"/>
  <c r="AN33" i="15"/>
  <c r="AN14" i="15"/>
  <c r="U39" i="16"/>
  <c r="AH39" i="16" s="1"/>
  <c r="AN15" i="15"/>
  <c r="AP15" i="15" s="1"/>
  <c r="U43" i="16"/>
  <c r="AH43" i="16" s="1"/>
  <c r="U26" i="16"/>
  <c r="W26" i="16" s="1"/>
  <c r="AN13" i="15"/>
  <c r="AP13" i="15" s="1"/>
  <c r="AN37" i="15"/>
  <c r="U18" i="16"/>
  <c r="AH18" i="16" s="1"/>
  <c r="U20" i="16"/>
  <c r="U24" i="16"/>
  <c r="AM37" i="15"/>
  <c r="AN16" i="15"/>
  <c r="AP16" i="15" s="1"/>
  <c r="AN17" i="15"/>
  <c r="AP17" i="15" s="1"/>
  <c r="U19" i="16"/>
  <c r="AH19" i="16" s="1"/>
  <c r="AN24" i="15"/>
  <c r="AN29" i="15"/>
  <c r="AM41" i="15"/>
  <c r="AP41" i="15" s="1"/>
  <c r="AM24" i="15"/>
  <c r="AN10" i="15"/>
  <c r="AP10" i="15" s="1"/>
  <c r="U28" i="16"/>
  <c r="AH28" i="16" s="1"/>
  <c r="U23" i="16"/>
  <c r="AH23" i="16" s="1"/>
  <c r="AN22" i="15"/>
  <c r="AP22" i="15" s="1"/>
  <c r="AN23" i="15"/>
  <c r="AP23" i="15" s="1"/>
  <c r="AM8" i="15"/>
  <c r="U12" i="16"/>
  <c r="AH12" i="16" s="1"/>
  <c r="U15" i="16"/>
  <c r="AH15" i="16" s="1"/>
  <c r="U21" i="16"/>
  <c r="AH21" i="16" s="1"/>
  <c r="AM14" i="15"/>
  <c r="U22" i="16"/>
  <c r="AH22" i="16" s="1"/>
  <c r="AM9" i="15"/>
  <c r="AP9" i="15" s="1"/>
  <c r="AY12" i="18"/>
  <c r="U54" i="16"/>
  <c r="W54" i="16" s="1"/>
  <c r="AY10" i="18"/>
  <c r="AY9" i="18"/>
  <c r="S64" i="14"/>
  <c r="V64" i="14" s="1"/>
  <c r="W64" i="14" s="1"/>
  <c r="X64" i="14" s="1"/>
  <c r="Y30" i="16" s="1"/>
  <c r="T30" i="16"/>
  <c r="S47" i="14"/>
  <c r="V47" i="14" s="1"/>
  <c r="W47" i="14" s="1"/>
  <c r="X47" i="14" s="1"/>
  <c r="BH9" i="18" s="1"/>
  <c r="AZ11" i="18"/>
  <c r="FR8" i="18"/>
  <c r="FS8" i="18" s="1"/>
  <c r="S70" i="14"/>
  <c r="V70" i="14" s="1"/>
  <c r="W70" i="14" s="1"/>
  <c r="X70" i="14" s="1"/>
  <c r="T34" i="16"/>
  <c r="T20" i="16"/>
  <c r="FR18" i="18"/>
  <c r="FS18" i="18" s="1"/>
  <c r="FR20" i="18"/>
  <c r="FS20" i="18" s="1"/>
  <c r="FR11" i="18"/>
  <c r="FS11" i="18" s="1"/>
  <c r="U31" i="16"/>
  <c r="AH31" i="16" s="1"/>
  <c r="V81" i="14"/>
  <c r="W81" i="14" s="1"/>
  <c r="X81" i="14" s="1"/>
  <c r="Y81" i="14" s="1"/>
  <c r="Z81" i="14" s="1"/>
  <c r="U37" i="16"/>
  <c r="AH37" i="16" s="1"/>
  <c r="FR14" i="18"/>
  <c r="FS14" i="18" s="1"/>
  <c r="U16" i="16"/>
  <c r="W16" i="16" s="1"/>
  <c r="FR7" i="18"/>
  <c r="FS7" i="18" s="1"/>
  <c r="AM18" i="15"/>
  <c r="AP18" i="15" s="1"/>
  <c r="FR19" i="18"/>
  <c r="FS19" i="18" s="1"/>
  <c r="AH29" i="16"/>
  <c r="AM31" i="15"/>
  <c r="AP31" i="15" s="1"/>
  <c r="FR16" i="18"/>
  <c r="FS16" i="18" s="1"/>
  <c r="AN27" i="15"/>
  <c r="AP27" i="15" s="1"/>
  <c r="AG62" i="14"/>
  <c r="FR9" i="18"/>
  <c r="FS9" i="18" s="1"/>
  <c r="AG63" i="14"/>
  <c r="T29" i="16"/>
  <c r="W29" i="16" s="1"/>
  <c r="S63" i="14"/>
  <c r="V63" i="14" s="1"/>
  <c r="W63" i="14" s="1"/>
  <c r="X63" i="14" s="1"/>
  <c r="T15" i="16"/>
  <c r="S62" i="14"/>
  <c r="V62" i="14" s="1"/>
  <c r="W62" i="14" s="1"/>
  <c r="X62" i="14" s="1"/>
  <c r="T14" i="16"/>
  <c r="W14" i="16" s="1"/>
  <c r="T28" i="16"/>
  <c r="AI52" i="14"/>
  <c r="AJ52" i="14" s="1"/>
  <c r="AK52" i="14" s="1"/>
  <c r="AH14" i="16"/>
  <c r="AL8" i="15"/>
  <c r="AL29" i="15"/>
  <c r="AI44" i="16"/>
  <c r="Y60" i="14"/>
  <c r="Z60" i="14" s="1"/>
  <c r="Y12" i="16"/>
  <c r="U44" i="16"/>
  <c r="AH44" i="16" s="1"/>
  <c r="AN20" i="15"/>
  <c r="AP20" i="15" s="1"/>
  <c r="U49" i="16"/>
  <c r="AM28" i="15"/>
  <c r="AN28" i="15"/>
  <c r="AM40" i="15"/>
  <c r="AN40" i="15"/>
  <c r="AM25" i="15"/>
  <c r="AN25" i="15"/>
  <c r="AM34" i="15"/>
  <c r="AN34" i="15"/>
  <c r="AM30" i="15"/>
  <c r="AN30" i="15"/>
  <c r="AM26" i="15"/>
  <c r="AN26" i="15"/>
  <c r="AM36" i="15"/>
  <c r="AN36" i="15"/>
  <c r="AM19" i="15"/>
  <c r="AN19" i="15"/>
  <c r="AM21" i="15"/>
  <c r="AN21" i="15"/>
  <c r="AM39" i="15"/>
  <c r="AN39" i="15"/>
  <c r="AM32" i="15"/>
  <c r="AN32" i="15"/>
  <c r="U55" i="16"/>
  <c r="AN42" i="15"/>
  <c r="AL36" i="15"/>
  <c r="AL20" i="15"/>
  <c r="AL9" i="15"/>
  <c r="AL41" i="15"/>
  <c r="AL35" i="15"/>
  <c r="AL23" i="15"/>
  <c r="AL14" i="15"/>
  <c r="Y13" i="16"/>
  <c r="Y61" i="14"/>
  <c r="Z61" i="14" s="1"/>
  <c r="AM38" i="15"/>
  <c r="AP38" i="15" s="1"/>
  <c r="AM35" i="15"/>
  <c r="AP35" i="15" s="1"/>
  <c r="AM42" i="15"/>
  <c r="AL30" i="15"/>
  <c r="AL15" i="15"/>
  <c r="AL10" i="15"/>
  <c r="AL42" i="15"/>
  <c r="AL31" i="15"/>
  <c r="AL26" i="15"/>
  <c r="AL24" i="15"/>
  <c r="AL27" i="15"/>
  <c r="AL32" i="15"/>
  <c r="AL33" i="15"/>
  <c r="AL12" i="15"/>
  <c r="AL34" i="15"/>
  <c r="Y67" i="14"/>
  <c r="Z67" i="14" s="1"/>
  <c r="Y37" i="16"/>
  <c r="Y55" i="16"/>
  <c r="U36" i="16"/>
  <c r="U30" i="16"/>
  <c r="U41" i="16"/>
  <c r="U48" i="16"/>
  <c r="U51" i="16"/>
  <c r="U35" i="16"/>
  <c r="W13" i="16"/>
  <c r="U46" i="16"/>
  <c r="U53" i="16"/>
  <c r="U38" i="16"/>
  <c r="U32" i="16"/>
  <c r="U34" i="16"/>
  <c r="U40" i="16"/>
  <c r="U45" i="16"/>
  <c r="U52" i="16"/>
  <c r="Y46" i="16"/>
  <c r="Y44" i="16"/>
  <c r="Y27" i="16"/>
  <c r="Y77" i="14"/>
  <c r="Z77" i="14" s="1"/>
  <c r="Y41" i="16"/>
  <c r="AL18" i="15"/>
  <c r="AL21" i="15"/>
  <c r="AL28" i="15"/>
  <c r="AL39" i="15"/>
  <c r="AL22" i="15"/>
  <c r="AL16" i="15"/>
  <c r="AL19" i="15"/>
  <c r="AL11" i="15"/>
  <c r="AL13" i="15"/>
  <c r="AL40" i="15"/>
  <c r="AL17" i="15"/>
  <c r="AL37" i="15"/>
  <c r="AL38" i="15"/>
  <c r="AL25" i="15"/>
  <c r="D36" i="10"/>
  <c r="D31" i="10"/>
  <c r="Y50" i="16"/>
  <c r="Y84" i="14"/>
  <c r="Z84" i="14" s="1"/>
  <c r="X59" i="14"/>
  <c r="X42" i="14"/>
  <c r="Y42" i="14" s="1"/>
  <c r="Z42" i="14" s="1"/>
  <c r="V44" i="14"/>
  <c r="W44" i="14" s="1"/>
  <c r="X44" i="14" s="1"/>
  <c r="Y49" i="16"/>
  <c r="Y83" i="14"/>
  <c r="Z83" i="14" s="1"/>
  <c r="Y54" i="16"/>
  <c r="Y88" i="14"/>
  <c r="Z88" i="14" s="1"/>
  <c r="V33" i="14"/>
  <c r="W33" i="14" s="1"/>
  <c r="X33" i="14" s="1"/>
  <c r="V41" i="14"/>
  <c r="W41" i="14" s="1"/>
  <c r="V28" i="14"/>
  <c r="V49" i="14"/>
  <c r="W49" i="14" s="1"/>
  <c r="X49" i="14" s="1"/>
  <c r="V52" i="14"/>
  <c r="W52" i="14" s="1"/>
  <c r="Y39" i="16" l="1"/>
  <c r="FS6" i="18"/>
  <c r="Y25" i="16"/>
  <c r="Y45" i="14"/>
  <c r="Z45" i="14" s="1"/>
  <c r="Y17" i="16"/>
  <c r="Y79" i="14"/>
  <c r="Z79" i="14" s="1"/>
  <c r="BF12" i="18"/>
  <c r="W25" i="16"/>
  <c r="Y31" i="16"/>
  <c r="AP37" i="15"/>
  <c r="AQ37" i="15" s="1"/>
  <c r="AR37" i="15" s="1"/>
  <c r="BI10" i="18"/>
  <c r="BF5" i="18"/>
  <c r="BI11" i="18"/>
  <c r="BI12" i="18"/>
  <c r="BF6" i="18"/>
  <c r="BF7" i="18"/>
  <c r="Y29" i="14"/>
  <c r="Z29" i="14" s="1"/>
  <c r="Y48" i="14"/>
  <c r="Z48" i="14" s="1"/>
  <c r="AJ82" i="14"/>
  <c r="AK82" i="14" s="1"/>
  <c r="AI48" i="16"/>
  <c r="BF10" i="18"/>
  <c r="BF9" i="18"/>
  <c r="AJ88" i="14"/>
  <c r="AK88" i="14" s="1"/>
  <c r="AI54" i="16"/>
  <c r="AJ89" i="14"/>
  <c r="AK89" i="14" s="1"/>
  <c r="AI55" i="16"/>
  <c r="AJ85" i="14"/>
  <c r="AK85" i="14" s="1"/>
  <c r="AI51" i="16"/>
  <c r="AJ72" i="14"/>
  <c r="AK72" i="14" s="1"/>
  <c r="AI24" i="16"/>
  <c r="AI38" i="16"/>
  <c r="AI27" i="16"/>
  <c r="AJ75" i="14"/>
  <c r="AK75" i="14" s="1"/>
  <c r="AI41" i="16"/>
  <c r="Y76" i="14"/>
  <c r="Z76" i="14" s="1"/>
  <c r="AH25" i="16"/>
  <c r="AI23" i="16"/>
  <c r="AI13" i="16"/>
  <c r="AJ61" i="14"/>
  <c r="AK61" i="14" s="1"/>
  <c r="AI50" i="16"/>
  <c r="AJ84" i="14"/>
  <c r="AK84" i="14" s="1"/>
  <c r="AJ66" i="14"/>
  <c r="AK66" i="14" s="1"/>
  <c r="AI31" i="16"/>
  <c r="AI17" i="16"/>
  <c r="AJ79" i="14"/>
  <c r="AK79" i="14" s="1"/>
  <c r="AI45" i="16"/>
  <c r="AJ83" i="14"/>
  <c r="AK83" i="14" s="1"/>
  <c r="AI49" i="16"/>
  <c r="AI25" i="16"/>
  <c r="AJ73" i="14"/>
  <c r="AK73" i="14" s="1"/>
  <c r="AI39" i="16"/>
  <c r="AJ65" i="14"/>
  <c r="AK65" i="14" s="1"/>
  <c r="AI36" i="16"/>
  <c r="AI22" i="16"/>
  <c r="AJ80" i="14"/>
  <c r="AK80" i="14" s="1"/>
  <c r="AI46" i="16"/>
  <c r="AI43" i="16"/>
  <c r="AJ77" i="14"/>
  <c r="AK77" i="14" s="1"/>
  <c r="AH46" i="14"/>
  <c r="AI46" i="14" s="1"/>
  <c r="AJ46" i="14" s="1"/>
  <c r="AK46" i="14" s="1"/>
  <c r="AH32" i="14"/>
  <c r="AI32" i="14" s="1"/>
  <c r="AJ32" i="14" s="1"/>
  <c r="AK32" i="14" s="1"/>
  <c r="AH31" i="14"/>
  <c r="AI31" i="14" s="1"/>
  <c r="AJ31" i="14" s="1"/>
  <c r="AK31" i="14" s="1"/>
  <c r="AH34" i="14"/>
  <c r="AI34" i="14" s="1"/>
  <c r="AJ34" i="14" s="1"/>
  <c r="AK34" i="14" s="1"/>
  <c r="AH38" i="14"/>
  <c r="AI38" i="14" s="1"/>
  <c r="AJ38" i="14" s="1"/>
  <c r="AK38" i="14" s="1"/>
  <c r="AH71" i="14"/>
  <c r="AI71" i="14" s="1"/>
  <c r="AI21" i="16" s="1"/>
  <c r="Y48" i="16"/>
  <c r="AH63" i="14"/>
  <c r="AI63" i="14" s="1"/>
  <c r="AH58" i="14"/>
  <c r="AI58" i="14" s="1"/>
  <c r="AJ58" i="14" s="1"/>
  <c r="AK58" i="14" s="1"/>
  <c r="AH36" i="14"/>
  <c r="AI36" i="14" s="1"/>
  <c r="AJ36" i="14" s="1"/>
  <c r="AK36" i="14" s="1"/>
  <c r="AH51" i="14"/>
  <c r="AI51" i="14" s="1"/>
  <c r="AJ51" i="14" s="1"/>
  <c r="AK51" i="14" s="1"/>
  <c r="AH57" i="14"/>
  <c r="AI57" i="14" s="1"/>
  <c r="AJ57" i="14" s="1"/>
  <c r="AK57" i="14" s="1"/>
  <c r="AH39" i="14"/>
  <c r="AI39" i="14" s="1"/>
  <c r="AJ39" i="14" s="1"/>
  <c r="AK39" i="14" s="1"/>
  <c r="AH64" i="14"/>
  <c r="AI64" i="14" s="1"/>
  <c r="AH35" i="14"/>
  <c r="AI35" i="14" s="1"/>
  <c r="AJ35" i="14" s="1"/>
  <c r="AK35" i="14" s="1"/>
  <c r="AH74" i="14"/>
  <c r="AI74" i="14" s="1"/>
  <c r="AH68" i="14"/>
  <c r="AI68" i="14" s="1"/>
  <c r="AH62" i="14"/>
  <c r="AI62" i="14" s="1"/>
  <c r="AH55" i="14"/>
  <c r="AI55" i="14" s="1"/>
  <c r="AJ55" i="14" s="1"/>
  <c r="AK55" i="14" s="1"/>
  <c r="AH43" i="14"/>
  <c r="AI43" i="14" s="1"/>
  <c r="AJ43" i="14" s="1"/>
  <c r="AK43" i="14" s="1"/>
  <c r="AH87" i="14"/>
  <c r="AI87" i="14" s="1"/>
  <c r="AH28" i="14"/>
  <c r="AI28" i="14" s="1"/>
  <c r="AJ28" i="14" s="1"/>
  <c r="AK28" i="14" s="1"/>
  <c r="AH49" i="14"/>
  <c r="AI49" i="14" s="1"/>
  <c r="AJ49" i="14" s="1"/>
  <c r="AK49" i="14" s="1"/>
  <c r="AJ67" i="14"/>
  <c r="AK67" i="14" s="1"/>
  <c r="AH41" i="14"/>
  <c r="AI41" i="14" s="1"/>
  <c r="AJ41" i="14" s="1"/>
  <c r="AK41" i="14" s="1"/>
  <c r="AH42" i="14"/>
  <c r="AI42" i="14" s="1"/>
  <c r="AJ42" i="14" s="1"/>
  <c r="AK42" i="14" s="1"/>
  <c r="AH60" i="14"/>
  <c r="AI60" i="14" s="1"/>
  <c r="AJ60" i="14" s="1"/>
  <c r="AK60" i="14" s="1"/>
  <c r="AH29" i="14"/>
  <c r="AI29" i="14" s="1"/>
  <c r="AJ29" i="14" s="1"/>
  <c r="AK29" i="14" s="1"/>
  <c r="AH76" i="14"/>
  <c r="AI76" i="14" s="1"/>
  <c r="AJ76" i="14" s="1"/>
  <c r="AK76" i="14" s="1"/>
  <c r="AH86" i="14"/>
  <c r="AI86" i="14" s="1"/>
  <c r="AH69" i="14"/>
  <c r="AI69" i="14" s="1"/>
  <c r="AH30" i="14"/>
  <c r="AI30" i="14" s="1"/>
  <c r="AJ30" i="14" s="1"/>
  <c r="AK30" i="14" s="1"/>
  <c r="BH8" i="18"/>
  <c r="Y18" i="16"/>
  <c r="BH6" i="18"/>
  <c r="Y31" i="14"/>
  <c r="Z31" i="14" s="1"/>
  <c r="Y85" i="14"/>
  <c r="Z85" i="14" s="1"/>
  <c r="Y86" i="14"/>
  <c r="Z86" i="14" s="1"/>
  <c r="BG10" i="18"/>
  <c r="Y19" i="16"/>
  <c r="Y35" i="16"/>
  <c r="Y26" i="16"/>
  <c r="BH5" i="18"/>
  <c r="Y68" i="14"/>
  <c r="Z68" i="14" s="1"/>
  <c r="Y36" i="16"/>
  <c r="Y24" i="16"/>
  <c r="Y21" i="16"/>
  <c r="Y40" i="16"/>
  <c r="Y69" i="14"/>
  <c r="Z69" i="14" s="1"/>
  <c r="Y65" i="14"/>
  <c r="Z65" i="14" s="1"/>
  <c r="W24" i="16"/>
  <c r="AP29" i="15"/>
  <c r="AQ29" i="15" s="1"/>
  <c r="AR29" i="15" s="1"/>
  <c r="Z28" i="16" s="1"/>
  <c r="W47" i="16"/>
  <c r="AP24" i="15"/>
  <c r="AQ24" i="15" s="1"/>
  <c r="BD8" i="18"/>
  <c r="BD6" i="18"/>
  <c r="BD20" i="18"/>
  <c r="BD16" i="18"/>
  <c r="BD5" i="18"/>
  <c r="BD10" i="18"/>
  <c r="BD13" i="18"/>
  <c r="BD7" i="18"/>
  <c r="Y64" i="14"/>
  <c r="Z64" i="14" s="1"/>
  <c r="BI5" i="18"/>
  <c r="Y16" i="16"/>
  <c r="BK8" i="18"/>
  <c r="Y35" i="14"/>
  <c r="Z35" i="14" s="1"/>
  <c r="BK7" i="18"/>
  <c r="BK5" i="18"/>
  <c r="BK6" i="18"/>
  <c r="X55" i="14"/>
  <c r="BH18" i="18" s="1"/>
  <c r="X38" i="14"/>
  <c r="BG13" i="18" s="1"/>
  <c r="Y47" i="16"/>
  <c r="X58" i="14"/>
  <c r="Y58" i="14" s="1"/>
  <c r="Z58" i="14" s="1"/>
  <c r="Y87" i="14"/>
  <c r="Z87" i="14" s="1"/>
  <c r="BD9" i="18"/>
  <c r="BD17" i="18"/>
  <c r="BD19" i="18"/>
  <c r="BD14" i="18"/>
  <c r="Y38" i="16"/>
  <c r="Y46" i="14"/>
  <c r="Z46" i="14" s="1"/>
  <c r="BG11" i="18"/>
  <c r="Y47" i="14"/>
  <c r="Z47" i="14" s="1"/>
  <c r="BG12" i="18"/>
  <c r="BH10" i="18"/>
  <c r="BD15" i="18"/>
  <c r="BG8" i="18"/>
  <c r="BG7" i="18"/>
  <c r="Y30" i="14"/>
  <c r="Z30" i="14" s="1"/>
  <c r="BG5" i="18"/>
  <c r="BG6" i="18"/>
  <c r="Y32" i="14"/>
  <c r="Z32" i="14" s="1"/>
  <c r="BK11" i="18"/>
  <c r="BD12" i="18"/>
  <c r="BD11" i="18"/>
  <c r="BD18" i="18"/>
  <c r="BK12" i="18"/>
  <c r="BI6" i="18"/>
  <c r="Y51" i="14"/>
  <c r="Z51" i="14" s="1"/>
  <c r="BH11" i="18"/>
  <c r="BI7" i="18"/>
  <c r="BK10" i="18"/>
  <c r="BH12" i="18"/>
  <c r="BK9" i="18"/>
  <c r="W20" i="16"/>
  <c r="AP8" i="15"/>
  <c r="AQ8" i="15" s="1"/>
  <c r="AR8" i="15" s="1"/>
  <c r="AT8" i="15" s="1"/>
  <c r="W17" i="16"/>
  <c r="W43" i="16"/>
  <c r="AP33" i="15"/>
  <c r="AQ33" i="15" s="1"/>
  <c r="AR33" i="15" s="1"/>
  <c r="AT33" i="15" s="1"/>
  <c r="AP14" i="15"/>
  <c r="AQ14" i="15" s="1"/>
  <c r="AR14" i="15" s="1"/>
  <c r="Z21" i="16" s="1"/>
  <c r="W19" i="16"/>
  <c r="W28" i="16"/>
  <c r="W39" i="16"/>
  <c r="W23" i="16"/>
  <c r="W12" i="16"/>
  <c r="AH24" i="16"/>
  <c r="W18" i="16"/>
  <c r="AH26" i="16"/>
  <c r="W21" i="16"/>
  <c r="AH54" i="16"/>
  <c r="AH20" i="16"/>
  <c r="W15" i="16"/>
  <c r="W31" i="16"/>
  <c r="W22" i="16"/>
  <c r="Y34" i="16"/>
  <c r="Y70" i="14"/>
  <c r="Z70" i="14" s="1"/>
  <c r="Y20" i="16"/>
  <c r="W37" i="16"/>
  <c r="AP30" i="15"/>
  <c r="AQ30" i="15" s="1"/>
  <c r="AR30" i="15" s="1"/>
  <c r="Z36" i="16" s="1"/>
  <c r="AH16" i="16"/>
  <c r="Y28" i="16"/>
  <c r="Y14" i="16"/>
  <c r="Y62" i="14"/>
  <c r="Z62" i="14" s="1"/>
  <c r="Y15" i="16"/>
  <c r="Y63" i="14"/>
  <c r="Z63" i="14" s="1"/>
  <c r="Y29" i="16"/>
  <c r="AJ70" i="14"/>
  <c r="AK70" i="14" s="1"/>
  <c r="AI47" i="16"/>
  <c r="AP36" i="15"/>
  <c r="AQ36" i="15" s="1"/>
  <c r="AR36" i="15" s="1"/>
  <c r="AT36" i="15" s="1"/>
  <c r="AP42" i="15"/>
  <c r="AQ42" i="15" s="1"/>
  <c r="AR42" i="15" s="1"/>
  <c r="Z55" i="16" s="1"/>
  <c r="AI34" i="16"/>
  <c r="W44" i="16"/>
  <c r="W45" i="16"/>
  <c r="AH45" i="16"/>
  <c r="W34" i="16"/>
  <c r="AH34" i="16"/>
  <c r="W32" i="16"/>
  <c r="AH32" i="16"/>
  <c r="W53" i="16"/>
  <c r="AH53" i="16"/>
  <c r="W35" i="16"/>
  <c r="AH35" i="16"/>
  <c r="W30" i="16"/>
  <c r="AH30" i="16"/>
  <c r="W36" i="16"/>
  <c r="AH36" i="16"/>
  <c r="W38" i="16"/>
  <c r="AH38" i="16"/>
  <c r="W46" i="16"/>
  <c r="AH46" i="16"/>
  <c r="W51" i="16"/>
  <c r="AH51" i="16"/>
  <c r="W55" i="16"/>
  <c r="AH55" i="16"/>
  <c r="W52" i="16"/>
  <c r="AH52" i="16"/>
  <c r="W40" i="16"/>
  <c r="AH40" i="16"/>
  <c r="W48" i="16"/>
  <c r="AH48" i="16"/>
  <c r="W41" i="16"/>
  <c r="AH41" i="16"/>
  <c r="W49" i="16"/>
  <c r="AH49" i="16"/>
  <c r="AQ27" i="15"/>
  <c r="AR27" i="15" s="1"/>
  <c r="AS27" i="15" s="1"/>
  <c r="AQ41" i="15"/>
  <c r="AR41" i="15" s="1"/>
  <c r="Z47" i="16" s="1"/>
  <c r="AQ31" i="15"/>
  <c r="AR31" i="15" s="1"/>
  <c r="AS31" i="15" s="1"/>
  <c r="AQ35" i="15"/>
  <c r="AR35" i="15" s="1"/>
  <c r="Z41" i="16" s="1"/>
  <c r="AQ9" i="15"/>
  <c r="AR9" i="15" s="1"/>
  <c r="AT9" i="15" s="1"/>
  <c r="AQ20" i="15"/>
  <c r="AR20" i="15" s="1"/>
  <c r="AS20" i="15" s="1"/>
  <c r="AQ12" i="15"/>
  <c r="AR12" i="15" s="1"/>
  <c r="AS12" i="15" s="1"/>
  <c r="AQ23" i="15"/>
  <c r="AR23" i="15" s="1"/>
  <c r="AT23" i="15" s="1"/>
  <c r="AQ15" i="15"/>
  <c r="AR15" i="15" s="1"/>
  <c r="AT15" i="15" s="1"/>
  <c r="AQ10" i="15"/>
  <c r="AR10" i="15" s="1"/>
  <c r="Z23" i="16" s="1"/>
  <c r="AQ11" i="15"/>
  <c r="AR11" i="15" s="1"/>
  <c r="Z24" i="16" s="1"/>
  <c r="AQ16" i="15"/>
  <c r="AR16" i="15" s="1"/>
  <c r="AP25" i="15"/>
  <c r="AQ25" i="15" s="1"/>
  <c r="AR25" i="15" s="1"/>
  <c r="AQ17" i="15"/>
  <c r="AR17" i="15" s="1"/>
  <c r="AT17" i="15" s="1"/>
  <c r="AP40" i="15"/>
  <c r="AQ40" i="15" s="1"/>
  <c r="AR40" i="15" s="1"/>
  <c r="AP21" i="15"/>
  <c r="AQ21" i="15" s="1"/>
  <c r="AR21" i="15" s="1"/>
  <c r="AS21" i="15" s="1"/>
  <c r="AP32" i="15"/>
  <c r="AQ32" i="15" s="1"/>
  <c r="AR32" i="15" s="1"/>
  <c r="AP28" i="15"/>
  <c r="AQ28" i="15" s="1"/>
  <c r="AR28" i="15" s="1"/>
  <c r="AP39" i="15"/>
  <c r="AQ39" i="15" s="1"/>
  <c r="AR39" i="15" s="1"/>
  <c r="Y53" i="14"/>
  <c r="Z53" i="14" s="1"/>
  <c r="AQ38" i="15"/>
  <c r="AR38" i="15" s="1"/>
  <c r="AS38" i="15" s="1"/>
  <c r="AP26" i="15"/>
  <c r="AQ26" i="15" s="1"/>
  <c r="AR26" i="15" s="1"/>
  <c r="AS26" i="15" s="1"/>
  <c r="AP19" i="15"/>
  <c r="AQ19" i="15" s="1"/>
  <c r="AR19" i="15" s="1"/>
  <c r="AS19" i="15" s="1"/>
  <c r="AP34" i="15"/>
  <c r="AQ34" i="15" s="1"/>
  <c r="AR34" i="15" s="1"/>
  <c r="BF20" i="18"/>
  <c r="BF18" i="18"/>
  <c r="BF17" i="18"/>
  <c r="W28" i="14"/>
  <c r="X28" i="14" s="1"/>
  <c r="AQ18" i="15"/>
  <c r="AR18" i="15" s="1"/>
  <c r="AS18" i="15" s="1"/>
  <c r="AQ22" i="15"/>
  <c r="AR22" i="15" s="1"/>
  <c r="AS22" i="15" s="1"/>
  <c r="AQ13" i="15"/>
  <c r="AR13" i="15" s="1"/>
  <c r="AT13" i="15" s="1"/>
  <c r="X41" i="14"/>
  <c r="BE12" i="18"/>
  <c r="BE11" i="18"/>
  <c r="BE10" i="18"/>
  <c r="BE9" i="18"/>
  <c r="Y44" i="14"/>
  <c r="Z44" i="14" s="1"/>
  <c r="X52" i="14"/>
  <c r="X57" i="14"/>
  <c r="X36" i="14"/>
  <c r="BK16" i="18"/>
  <c r="BK15" i="18"/>
  <c r="BK13" i="18"/>
  <c r="Y43" i="14"/>
  <c r="Z43" i="14" s="1"/>
  <c r="BK14" i="18"/>
  <c r="BF16" i="18"/>
  <c r="BF15" i="18"/>
  <c r="BF14" i="18"/>
  <c r="BF13" i="18"/>
  <c r="Y37" i="14"/>
  <c r="Z37" i="14" s="1"/>
  <c r="BI13" i="18"/>
  <c r="BI16" i="18"/>
  <c r="BI15" i="18"/>
  <c r="BI14" i="18"/>
  <c r="Y40" i="14"/>
  <c r="Z40" i="14" s="1"/>
  <c r="BJ12" i="18"/>
  <c r="BJ11" i="18"/>
  <c r="BJ10" i="18"/>
  <c r="BJ9" i="18"/>
  <c r="Y49" i="14"/>
  <c r="Z49" i="14" s="1"/>
  <c r="BJ8" i="18"/>
  <c r="BJ7" i="18"/>
  <c r="BJ6" i="18"/>
  <c r="BJ5" i="18"/>
  <c r="Y33" i="14"/>
  <c r="Z33" i="14" s="1"/>
  <c r="BH14" i="18"/>
  <c r="BH13" i="18"/>
  <c r="BH16" i="18"/>
  <c r="BH15" i="18"/>
  <c r="Y39" i="14"/>
  <c r="Z39" i="14" s="1"/>
  <c r="BI17" i="18"/>
  <c r="BI20" i="18"/>
  <c r="BI19" i="18"/>
  <c r="BI18" i="18"/>
  <c r="Y56" i="14"/>
  <c r="Z56" i="14" s="1"/>
  <c r="BK20" i="18"/>
  <c r="BK19" i="18"/>
  <c r="BK17" i="18"/>
  <c r="BK18" i="18"/>
  <c r="Y59" i="14"/>
  <c r="Z59" i="14" s="1"/>
  <c r="BG19" i="18"/>
  <c r="BG18" i="18"/>
  <c r="BG17" i="18"/>
  <c r="BG20" i="18"/>
  <c r="Y54" i="14"/>
  <c r="Z54" i="14" s="1"/>
  <c r="AI33" i="16" l="1"/>
  <c r="AI19" i="16"/>
  <c r="AJ87" i="14"/>
  <c r="AK87" i="14" s="1"/>
  <c r="AI53" i="16"/>
  <c r="AI26" i="16"/>
  <c r="AJ74" i="14"/>
  <c r="AK74" i="14" s="1"/>
  <c r="AI40" i="16"/>
  <c r="AJ63" i="14"/>
  <c r="AK63" i="14" s="1"/>
  <c r="AI29" i="16"/>
  <c r="AI15" i="16"/>
  <c r="AI14" i="16"/>
  <c r="AI28" i="16"/>
  <c r="AJ28" i="16" s="1"/>
  <c r="AJ62" i="14"/>
  <c r="AK62" i="14" s="1"/>
  <c r="AI52" i="16"/>
  <c r="AJ86" i="14"/>
  <c r="AK86" i="14" s="1"/>
  <c r="AI16" i="16"/>
  <c r="AI30" i="16"/>
  <c r="AJ64" i="14"/>
  <c r="AK64" i="14" s="1"/>
  <c r="AJ69" i="14"/>
  <c r="AK69" i="14" s="1"/>
  <c r="AI12" i="16"/>
  <c r="AI35" i="16"/>
  <c r="AJ71" i="14"/>
  <c r="AK71" i="14" s="1"/>
  <c r="AI42" i="16"/>
  <c r="AJ68" i="14"/>
  <c r="AK68" i="14" s="1"/>
  <c r="AI18" i="16"/>
  <c r="AI32" i="16"/>
  <c r="BH19" i="18"/>
  <c r="BH17" i="18"/>
  <c r="BH20" i="18"/>
  <c r="Y55" i="14"/>
  <c r="Z55" i="14" s="1"/>
  <c r="BG14" i="18"/>
  <c r="Y38" i="14"/>
  <c r="Z38" i="14" s="1"/>
  <c r="BG15" i="18"/>
  <c r="BG16" i="18"/>
  <c r="Z14" i="16"/>
  <c r="AB14" i="16" s="1"/>
  <c r="AS8" i="15"/>
  <c r="Z15" i="16"/>
  <c r="AS29" i="15"/>
  <c r="AT29" i="15"/>
  <c r="Z29" i="16"/>
  <c r="AB29" i="16" s="1"/>
  <c r="AB28" i="16"/>
  <c r="AB21" i="16"/>
  <c r="AJ21" i="16"/>
  <c r="AB24" i="16"/>
  <c r="AJ24" i="16"/>
  <c r="AB41" i="16"/>
  <c r="AD41" i="16" s="1"/>
  <c r="AJ41" i="16"/>
  <c r="AB23" i="16"/>
  <c r="AC23" i="16" s="1"/>
  <c r="AJ23" i="16"/>
  <c r="AB36" i="16"/>
  <c r="AD36" i="16" s="1"/>
  <c r="AJ36" i="16"/>
  <c r="AB47" i="16"/>
  <c r="AJ47" i="16"/>
  <c r="AB55" i="16"/>
  <c r="AD55" i="16" s="1"/>
  <c r="AJ55" i="16"/>
  <c r="Z27" i="16"/>
  <c r="AT31" i="15"/>
  <c r="AT27" i="15"/>
  <c r="AT14" i="15"/>
  <c r="Z31" i="16"/>
  <c r="AS14" i="15"/>
  <c r="Z37" i="16"/>
  <c r="Z54" i="16"/>
  <c r="AT41" i="15"/>
  <c r="AS41" i="15"/>
  <c r="AS36" i="15"/>
  <c r="Z49" i="16"/>
  <c r="Z42" i="16"/>
  <c r="Z16" i="16"/>
  <c r="Z33" i="16"/>
  <c r="AS42" i="15"/>
  <c r="AS35" i="15"/>
  <c r="Z12" i="16"/>
  <c r="AS23" i="15"/>
  <c r="AT30" i="15"/>
  <c r="Z35" i="16"/>
  <c r="AS10" i="15"/>
  <c r="Z48" i="16"/>
  <c r="Z30" i="16"/>
  <c r="AT35" i="15"/>
  <c r="Z17" i="16"/>
  <c r="AT10" i="15"/>
  <c r="AT42" i="15"/>
  <c r="AT20" i="15"/>
  <c r="Z25" i="16"/>
  <c r="Z39" i="16"/>
  <c r="AT12" i="15"/>
  <c r="AS33" i="15"/>
  <c r="AS9" i="15"/>
  <c r="Z19" i="16"/>
  <c r="Z22" i="16"/>
  <c r="AS30" i="15"/>
  <c r="AS15" i="15"/>
  <c r="AR24" i="15"/>
  <c r="AT19" i="15"/>
  <c r="AS11" i="15"/>
  <c r="Z32" i="16"/>
  <c r="Z38" i="16"/>
  <c r="AT16" i="15"/>
  <c r="AS16" i="15"/>
  <c r="Z18" i="16"/>
  <c r="AT11" i="15"/>
  <c r="AT25" i="15"/>
  <c r="AS25" i="15"/>
  <c r="AT26" i="15"/>
  <c r="AS17" i="15"/>
  <c r="AS32" i="15"/>
  <c r="AT32" i="15"/>
  <c r="AT28" i="15"/>
  <c r="AS28" i="15"/>
  <c r="Z44" i="16"/>
  <c r="Z51" i="16"/>
  <c r="AT38" i="15"/>
  <c r="AT21" i="15"/>
  <c r="Z34" i="16"/>
  <c r="AS34" i="15"/>
  <c r="AT34" i="15"/>
  <c r="Z40" i="16"/>
  <c r="AT22" i="15"/>
  <c r="AT18" i="15"/>
  <c r="BE8" i="18"/>
  <c r="BL8" i="18" s="1"/>
  <c r="FT8" i="18" s="1"/>
  <c r="Y28" i="14"/>
  <c r="BE7" i="18"/>
  <c r="BL7" i="18" s="1"/>
  <c r="FT7" i="18" s="1"/>
  <c r="BE6" i="18"/>
  <c r="BL6" i="18" s="1"/>
  <c r="FT6" i="18" s="1"/>
  <c r="BE5" i="18"/>
  <c r="BL5" i="18" s="1"/>
  <c r="FT5" i="18" s="1"/>
  <c r="AS13" i="15"/>
  <c r="Z26" i="16"/>
  <c r="Z20" i="16"/>
  <c r="AS40" i="15"/>
  <c r="AT40" i="15"/>
  <c r="Z46" i="16"/>
  <c r="Z53" i="16"/>
  <c r="AT39" i="15"/>
  <c r="AS39" i="15"/>
  <c r="Z45" i="16"/>
  <c r="Z52" i="16"/>
  <c r="Z50" i="16"/>
  <c r="AS37" i="15"/>
  <c r="AT37" i="15"/>
  <c r="Z43" i="16"/>
  <c r="BL9" i="18"/>
  <c r="FT9" i="18" s="1"/>
  <c r="BE16" i="18"/>
  <c r="BE15" i="18"/>
  <c r="BE14" i="18"/>
  <c r="BE13" i="18"/>
  <c r="Y36" i="14"/>
  <c r="BE20" i="18"/>
  <c r="BE19" i="18"/>
  <c r="BE18" i="18"/>
  <c r="BE17" i="18"/>
  <c r="Y52" i="14"/>
  <c r="Z52" i="14" s="1"/>
  <c r="BL10" i="18"/>
  <c r="FT10" i="18" s="1"/>
  <c r="BL11" i="18"/>
  <c r="FT11" i="18" s="1"/>
  <c r="Z28" i="14"/>
  <c r="BJ20" i="18"/>
  <c r="BJ19" i="18"/>
  <c r="BJ18" i="18"/>
  <c r="BJ17" i="18"/>
  <c r="Y57" i="14"/>
  <c r="Z57" i="14" s="1"/>
  <c r="BL12" i="18"/>
  <c r="FT12" i="18" s="1"/>
  <c r="BJ16" i="18"/>
  <c r="BJ15" i="18"/>
  <c r="BJ14" i="18"/>
  <c r="BJ13" i="18"/>
  <c r="Y41" i="14"/>
  <c r="Z41" i="14" s="1"/>
  <c r="AJ15" i="16" l="1"/>
  <c r="AK15" i="16" s="1"/>
  <c r="AL15" i="16" s="1"/>
  <c r="AB15" i="16"/>
  <c r="AD15" i="16" s="1"/>
  <c r="AJ14" i="16"/>
  <c r="AO14" i="16" s="1"/>
  <c r="AJ29" i="16"/>
  <c r="AO29" i="16" s="1"/>
  <c r="AC36" i="16"/>
  <c r="AC41" i="16"/>
  <c r="AC55" i="16"/>
  <c r="AT24" i="15"/>
  <c r="AD21" i="16"/>
  <c r="AC21" i="16"/>
  <c r="AD47" i="16"/>
  <c r="AC47" i="16"/>
  <c r="AD24" i="16"/>
  <c r="AC24" i="16"/>
  <c r="AD23" i="16"/>
  <c r="AD29" i="16"/>
  <c r="AC29" i="16"/>
  <c r="AO28" i="16"/>
  <c r="AK28" i="16"/>
  <c r="AL28" i="16" s="1"/>
  <c r="AD28" i="16"/>
  <c r="AC28" i="16"/>
  <c r="AC14" i="16"/>
  <c r="AD14" i="16"/>
  <c r="AB43" i="16"/>
  <c r="AJ43" i="16"/>
  <c r="AB40" i="16"/>
  <c r="AD40" i="16" s="1"/>
  <c r="AJ40" i="16"/>
  <c r="AB38" i="16"/>
  <c r="AJ38" i="16"/>
  <c r="AB39" i="16"/>
  <c r="AJ39" i="16"/>
  <c r="AB35" i="16"/>
  <c r="AJ35" i="16"/>
  <c r="AB37" i="16"/>
  <c r="AJ37" i="16"/>
  <c r="AO55" i="16"/>
  <c r="AK55" i="16"/>
  <c r="AL55" i="16" s="1"/>
  <c r="AB45" i="16"/>
  <c r="AC45" i="16" s="1"/>
  <c r="AJ45" i="16"/>
  <c r="AB50" i="16"/>
  <c r="AD50" i="16" s="1"/>
  <c r="AJ50" i="16"/>
  <c r="AB53" i="16"/>
  <c r="AC53" i="16" s="1"/>
  <c r="AJ53" i="16"/>
  <c r="AB20" i="16"/>
  <c r="AD20" i="16" s="1"/>
  <c r="AJ20" i="16"/>
  <c r="AB51" i="16"/>
  <c r="AD51" i="16" s="1"/>
  <c r="AJ51" i="16"/>
  <c r="AB32" i="16"/>
  <c r="AC32" i="16" s="1"/>
  <c r="AJ32" i="16"/>
  <c r="AB22" i="16"/>
  <c r="AJ22" i="16"/>
  <c r="AB25" i="16"/>
  <c r="AJ25" i="16"/>
  <c r="AB17" i="16"/>
  <c r="AD17" i="16" s="1"/>
  <c r="AJ17" i="16"/>
  <c r="AB30" i="16"/>
  <c r="AD30" i="16" s="1"/>
  <c r="AJ30" i="16"/>
  <c r="AJ12" i="16"/>
  <c r="AB12" i="16"/>
  <c r="AB33" i="16"/>
  <c r="AC33" i="16" s="1"/>
  <c r="AJ33" i="16"/>
  <c r="AB49" i="16"/>
  <c r="AJ49" i="16"/>
  <c r="AB31" i="16"/>
  <c r="AJ31" i="16"/>
  <c r="AO47" i="16"/>
  <c r="AK47" i="16"/>
  <c r="AL47" i="16" s="1"/>
  <c r="AO24" i="16"/>
  <c r="AK24" i="16"/>
  <c r="AL24" i="16" s="1"/>
  <c r="AO21" i="16"/>
  <c r="AK21" i="16"/>
  <c r="AL21" i="16" s="1"/>
  <c r="AB52" i="16"/>
  <c r="AD52" i="16" s="1"/>
  <c r="AJ52" i="16"/>
  <c r="AB46" i="16"/>
  <c r="AJ46" i="16"/>
  <c r="AB26" i="16"/>
  <c r="AC26" i="16" s="1"/>
  <c r="AJ26" i="16"/>
  <c r="AB44" i="16"/>
  <c r="AD44" i="16" s="1"/>
  <c r="AJ44" i="16"/>
  <c r="AB48" i="16"/>
  <c r="AD48" i="16" s="1"/>
  <c r="AJ48" i="16"/>
  <c r="AB16" i="16"/>
  <c r="AD16" i="16" s="1"/>
  <c r="AJ16" i="16"/>
  <c r="AB42" i="16"/>
  <c r="AJ42" i="16"/>
  <c r="AB54" i="16"/>
  <c r="AJ54" i="16"/>
  <c r="AB27" i="16"/>
  <c r="AD27" i="16" s="1"/>
  <c r="AJ27" i="16"/>
  <c r="AB34" i="16"/>
  <c r="AC34" i="16" s="1"/>
  <c r="AJ34" i="16"/>
  <c r="AB18" i="16"/>
  <c r="AJ18" i="16"/>
  <c r="AB19" i="16"/>
  <c r="AJ19" i="16"/>
  <c r="AO36" i="16"/>
  <c r="AK36" i="16"/>
  <c r="AL36" i="16" s="1"/>
  <c r="AO23" i="16"/>
  <c r="AK23" i="16"/>
  <c r="AL23" i="16" s="1"/>
  <c r="AO41" i="16"/>
  <c r="AK41" i="16"/>
  <c r="AL41" i="16" s="1"/>
  <c r="AS24" i="15"/>
  <c r="Z13" i="16"/>
  <c r="BL18" i="18"/>
  <c r="FT18" i="18" s="1"/>
  <c r="FV18" i="18" s="1"/>
  <c r="BL15" i="18"/>
  <c r="FT15" i="18" s="1"/>
  <c r="FU15" i="18" s="1"/>
  <c r="FV11" i="18"/>
  <c r="FU11" i="18"/>
  <c r="BL20" i="18"/>
  <c r="FT20" i="18" s="1"/>
  <c r="BL13" i="18"/>
  <c r="FT13" i="18" s="1"/>
  <c r="FV6" i="18"/>
  <c r="FU6" i="18"/>
  <c r="FV7" i="18"/>
  <c r="FU7" i="18"/>
  <c r="FV12" i="18"/>
  <c r="FU12" i="18"/>
  <c r="BL17" i="18"/>
  <c r="FT17" i="18" s="1"/>
  <c r="BL14" i="18"/>
  <c r="FT14" i="18" s="1"/>
  <c r="FU5" i="18"/>
  <c r="FV5" i="18"/>
  <c r="FV10" i="18"/>
  <c r="FU10" i="18"/>
  <c r="BL19" i="18"/>
  <c r="FT19" i="18" s="1"/>
  <c r="Z36" i="14"/>
  <c r="BL16" i="18"/>
  <c r="FT16" i="18" s="1"/>
  <c r="FV8" i="18"/>
  <c r="FU8" i="18"/>
  <c r="FU9" i="18"/>
  <c r="FV9" i="18"/>
  <c r="AO15" i="16" l="1"/>
  <c r="AC15" i="16"/>
  <c r="AK29" i="16"/>
  <c r="AL29" i="16" s="1"/>
  <c r="AK14" i="16"/>
  <c r="AL14" i="16" s="1"/>
  <c r="AD26" i="16"/>
  <c r="AD45" i="16"/>
  <c r="AC50" i="16"/>
  <c r="AC20" i="16"/>
  <c r="AC44" i="16"/>
  <c r="AC40" i="16"/>
  <c r="AD46" i="16"/>
  <c r="AC52" i="16"/>
  <c r="AC17" i="16"/>
  <c r="AD33" i="16"/>
  <c r="AD34" i="16"/>
  <c r="AD35" i="16"/>
  <c r="AC35" i="16"/>
  <c r="AD25" i="16"/>
  <c r="AC25" i="16"/>
  <c r="AD32" i="16"/>
  <c r="AC12" i="16"/>
  <c r="AD12" i="16"/>
  <c r="AC37" i="16"/>
  <c r="AD37" i="16"/>
  <c r="AC39" i="16"/>
  <c r="AD39" i="16"/>
  <c r="AD19" i="16"/>
  <c r="AC19" i="16"/>
  <c r="AD53" i="16"/>
  <c r="AC38" i="16"/>
  <c r="AD38" i="16"/>
  <c r="AC43" i="16"/>
  <c r="AD43" i="16"/>
  <c r="AC18" i="16"/>
  <c r="AD18" i="16"/>
  <c r="AC42" i="16"/>
  <c r="AC46" i="16"/>
  <c r="AC30" i="16"/>
  <c r="AD31" i="16"/>
  <c r="AC31" i="16"/>
  <c r="AD49" i="16"/>
  <c r="AC49" i="16"/>
  <c r="AD22" i="16"/>
  <c r="AC22" i="16"/>
  <c r="AC51" i="16"/>
  <c r="AC48" i="16"/>
  <c r="AD42" i="16"/>
  <c r="AC27" i="16"/>
  <c r="AD54" i="16"/>
  <c r="AC16" i="16"/>
  <c r="AC54" i="16"/>
  <c r="AB13" i="16"/>
  <c r="AJ13" i="16"/>
  <c r="AO19" i="16"/>
  <c r="AK19" i="16"/>
  <c r="AL19" i="16" s="1"/>
  <c r="AO18" i="16"/>
  <c r="AK18" i="16"/>
  <c r="AL18" i="16" s="1"/>
  <c r="AO34" i="16"/>
  <c r="AK34" i="16"/>
  <c r="AL34" i="16" s="1"/>
  <c r="AO27" i="16"/>
  <c r="AK27" i="16"/>
  <c r="AL27" i="16" s="1"/>
  <c r="AK54" i="16"/>
  <c r="AL54" i="16" s="1"/>
  <c r="AO54" i="16"/>
  <c r="AO42" i="16"/>
  <c r="AK42" i="16"/>
  <c r="AL42" i="16" s="1"/>
  <c r="AO16" i="16"/>
  <c r="AK16" i="16"/>
  <c r="AL16" i="16" s="1"/>
  <c r="AO48" i="16"/>
  <c r="AK48" i="16"/>
  <c r="AL48" i="16" s="1"/>
  <c r="AO44" i="16"/>
  <c r="AK44" i="16"/>
  <c r="AL44" i="16" s="1"/>
  <c r="AO26" i="16"/>
  <c r="AK26" i="16"/>
  <c r="AL26" i="16" s="1"/>
  <c r="AO46" i="16"/>
  <c r="AK46" i="16"/>
  <c r="AL46" i="16" s="1"/>
  <c r="AO52" i="16"/>
  <c r="AK52" i="16"/>
  <c r="AL52" i="16" s="1"/>
  <c r="AK31" i="16"/>
  <c r="AL31" i="16" s="1"/>
  <c r="AO31" i="16"/>
  <c r="AO49" i="16"/>
  <c r="AK49" i="16"/>
  <c r="AL49" i="16" s="1"/>
  <c r="AO33" i="16"/>
  <c r="AK33" i="16"/>
  <c r="AL33" i="16" s="1"/>
  <c r="AO12" i="16"/>
  <c r="AK12" i="16"/>
  <c r="AL12" i="16" s="1"/>
  <c r="AO30" i="16"/>
  <c r="AK30" i="16"/>
  <c r="AL30" i="16" s="1"/>
  <c r="AO17" i="16"/>
  <c r="AK17" i="16"/>
  <c r="AL17" i="16" s="1"/>
  <c r="AO25" i="16"/>
  <c r="AK25" i="16"/>
  <c r="AL25" i="16" s="1"/>
  <c r="AO22" i="16"/>
  <c r="AK22" i="16"/>
  <c r="AL22" i="16" s="1"/>
  <c r="AO32" i="16"/>
  <c r="AK32" i="16"/>
  <c r="AL32" i="16" s="1"/>
  <c r="AO51" i="16"/>
  <c r="AK51" i="16"/>
  <c r="AL51" i="16" s="1"/>
  <c r="AO20" i="16"/>
  <c r="AK20" i="16"/>
  <c r="AL20" i="16" s="1"/>
  <c r="AO53" i="16"/>
  <c r="AK53" i="16"/>
  <c r="AL53" i="16" s="1"/>
  <c r="AO50" i="16"/>
  <c r="AK50" i="16"/>
  <c r="AL50" i="16" s="1"/>
  <c r="AO45" i="16"/>
  <c r="AK45" i="16"/>
  <c r="AL45" i="16" s="1"/>
  <c r="AO37" i="16"/>
  <c r="AK37" i="16"/>
  <c r="AL37" i="16" s="1"/>
  <c r="AO35" i="16"/>
  <c r="AK35" i="16"/>
  <c r="AL35" i="16" s="1"/>
  <c r="AO39" i="16"/>
  <c r="AK39" i="16"/>
  <c r="AL39" i="16" s="1"/>
  <c r="AO38" i="16"/>
  <c r="AK38" i="16"/>
  <c r="AL38" i="16" s="1"/>
  <c r="AO40" i="16"/>
  <c r="AK40" i="16"/>
  <c r="AL40" i="16" s="1"/>
  <c r="AO43" i="16"/>
  <c r="AK43" i="16"/>
  <c r="AL43" i="16" s="1"/>
  <c r="FU18" i="18"/>
  <c r="FV15" i="18"/>
  <c r="FV16" i="18"/>
  <c r="FU16" i="18"/>
  <c r="FU17" i="18"/>
  <c r="FV17" i="18"/>
  <c r="FV20" i="18"/>
  <c r="FU20" i="18"/>
  <c r="FV19" i="18"/>
  <c r="FU19" i="18"/>
  <c r="FV14" i="18"/>
  <c r="FU14" i="18"/>
  <c r="FU13" i="18"/>
  <c r="FV13" i="18"/>
  <c r="AD13" i="16" l="1"/>
  <c r="AC13" i="16"/>
  <c r="AO13" i="16"/>
  <c r="AK13" i="16"/>
  <c r="AL13" i="16" s="1"/>
</calcChain>
</file>

<file path=xl/comments1.xml><?xml version="1.0" encoding="utf-8"?>
<comments xmlns="http://schemas.openxmlformats.org/spreadsheetml/2006/main">
  <authors>
    <author>Ernst &amp; Young</author>
  </authors>
  <commentList>
    <comment ref="E284" authorId="0">
      <text>
        <r>
          <rPr>
            <b/>
            <sz val="8"/>
            <color indexed="81"/>
            <rFont val="Tahoma"/>
            <family val="2"/>
          </rPr>
          <t>Ernst &amp; Young:</t>
        </r>
        <r>
          <rPr>
            <sz val="8"/>
            <color indexed="81"/>
            <rFont val="Tahoma"/>
            <family val="2"/>
          </rPr>
          <t xml:space="preserve">
Origineel EDC</t>
        </r>
      </text>
    </comment>
    <comment ref="E285" authorId="0">
      <text>
        <r>
          <rPr>
            <b/>
            <sz val="8"/>
            <color indexed="81"/>
            <rFont val="Tahoma"/>
            <family val="2"/>
          </rPr>
          <t>Ernst &amp; Young:</t>
        </r>
        <r>
          <rPr>
            <sz val="8"/>
            <color indexed="81"/>
            <rFont val="Tahoma"/>
            <family val="2"/>
          </rPr>
          <t xml:space="preserve">
Origineel EDC</t>
        </r>
      </text>
    </comment>
  </commentList>
</comments>
</file>

<file path=xl/sharedStrings.xml><?xml version="1.0" encoding="utf-8"?>
<sst xmlns="http://schemas.openxmlformats.org/spreadsheetml/2006/main" count="5243" uniqueCount="1295">
  <si>
    <t>Algemeen</t>
  </si>
  <si>
    <t>Waarde</t>
  </si>
  <si>
    <t>AfschrijftermijnVVE</t>
  </si>
  <si>
    <t>ZM identifier</t>
  </si>
  <si>
    <t>VVA</t>
  </si>
  <si>
    <t>VVE</t>
  </si>
  <si>
    <t>128/128</t>
  </si>
  <si>
    <t>Type</t>
  </si>
  <si>
    <t>Brand</t>
  </si>
  <si>
    <t>KPN</t>
  </si>
  <si>
    <t>1. KPN ZM+Telfort Zakelijk abonnementen</t>
  </si>
  <si>
    <t>BIBA</t>
  </si>
  <si>
    <t>TZ</t>
  </si>
  <si>
    <t>start</t>
  </si>
  <si>
    <t>minuut</t>
  </si>
  <si>
    <t>BUBA</t>
  </si>
  <si>
    <t>VAMO</t>
  </si>
  <si>
    <t>IDD</t>
  </si>
  <si>
    <t>Propositie</t>
  </si>
  <si>
    <t>Zakelijk BelBasis</t>
  </si>
  <si>
    <t>per SMS</t>
  </si>
  <si>
    <t>2011WK(13)16A_2011</t>
  </si>
  <si>
    <t>Versie: 20130924</t>
  </si>
  <si>
    <t>ND5 kostenparameters vaste netwerk KPN (ZM deel)</t>
  </si>
  <si>
    <t>2013/2014</t>
  </si>
  <si>
    <t xml:space="preserve">Versie: </t>
  </si>
  <si>
    <t>2011WK(13)16A_2012</t>
  </si>
  <si>
    <t>2011WK(13)16B_2013</t>
  </si>
  <si>
    <t>2011WK(13)16B_2015</t>
  </si>
  <si>
    <t>2011-2015 wacc is variabel</t>
  </si>
  <si>
    <t>WBA KOPER</t>
  </si>
  <si>
    <t>WBA CM</t>
  </si>
  <si>
    <t>Type access</t>
  </si>
  <si>
    <t>Netvlakken</t>
  </si>
  <si>
    <t>ADSL op MDF (nrc) locatie (ATM)</t>
  </si>
  <si>
    <t>shared/non-shared</t>
  </si>
  <si>
    <t>passief-regionaal</t>
  </si>
  <si>
    <t>EDC minus 2012-2014</t>
  </si>
  <si>
    <t>per mnd</t>
  </si>
  <si>
    <t>regionaal-nationaal</t>
  </si>
  <si>
    <t>Tweede WBA CM ATM PVC 1:1</t>
  </si>
  <si>
    <t>per Mbps per mnd</t>
  </si>
  <si>
    <t>xDSL op MDF (nrc) locatie (ethernet)</t>
  </si>
  <si>
    <t>passief-nationaal</t>
  </si>
  <si>
    <t>VDSL op MDF (nrc) locatie (ethernet)</t>
  </si>
  <si>
    <t>VDSL bonding</t>
  </si>
  <si>
    <t>VDSL op SDF locatie (ethernet)</t>
  </si>
  <si>
    <t>non-shared</t>
  </si>
  <si>
    <t>LRIC</t>
  </si>
  <si>
    <t>FttH op Fiber locatie (ethernet)</t>
  </si>
  <si>
    <t>access</t>
  </si>
  <si>
    <t>FttH op Fiber locatie /SDF op VDSL locatie</t>
  </si>
  <si>
    <t>transport</t>
  </si>
  <si>
    <t>WBA ZM ETN</t>
  </si>
  <si>
    <t>ADSL op MDF (nrc) locatie (ATM, entry)</t>
  </si>
  <si>
    <t>EDC minus</t>
  </si>
  <si>
    <t>zie ontmiddeling</t>
  </si>
  <si>
    <t>ADSL op MDF (nrc) locatie (ATM, anders dan entry)</t>
  </si>
  <si>
    <t>passief-metro</t>
  </si>
  <si>
    <t>xDSL transport (ethernet)</t>
  </si>
  <si>
    <t>metro-nationaal</t>
  </si>
  <si>
    <t>WBA ZM ATM: kostenontmiddeling naar tarieven</t>
  </si>
  <si>
    <t>WBA ZM ATM</t>
  </si>
  <si>
    <t>VBR-rt</t>
  </si>
  <si>
    <t>UBR 1:1</t>
  </si>
  <si>
    <t>1:4</t>
  </si>
  <si>
    <t>1:10</t>
  </si>
  <si>
    <t>1:20</t>
  </si>
  <si>
    <t>Entry</t>
  </si>
  <si>
    <t>200/200</t>
  </si>
  <si>
    <t>224/224</t>
  </si>
  <si>
    <t>256/256</t>
  </si>
  <si>
    <t>352/352</t>
  </si>
  <si>
    <t>448/448</t>
  </si>
  <si>
    <t>512/256</t>
  </si>
  <si>
    <t>512/512</t>
  </si>
  <si>
    <t>1024/256</t>
  </si>
  <si>
    <t>1024/512</t>
  </si>
  <si>
    <t>1024/1024</t>
  </si>
  <si>
    <t>1280/1280</t>
  </si>
  <si>
    <t>1536/1536</t>
  </si>
  <si>
    <t>2048/512</t>
  </si>
  <si>
    <t>2048/2048</t>
  </si>
  <si>
    <t>2304/2304</t>
  </si>
  <si>
    <t>4096/1024</t>
  </si>
  <si>
    <t>8192/1024</t>
  </si>
  <si>
    <t>12288/1024</t>
  </si>
  <si>
    <t>regionaal-supranationaal</t>
  </si>
  <si>
    <t>BROADCAST KOPER EN GLAS</t>
  </si>
  <si>
    <t>Dienst over koper</t>
  </si>
  <si>
    <t>Broadcast</t>
  </si>
  <si>
    <t>Transport</t>
  </si>
  <si>
    <t>Broadcast (exclusief unicast functionaliteit)</t>
  </si>
  <si>
    <t>Platform</t>
  </si>
  <si>
    <t>Dienst over FttH glas</t>
  </si>
  <si>
    <t>ILL &lt;= 2 MB KOPER</t>
  </si>
  <si>
    <t>64 KBIT/S</t>
  </si>
  <si>
    <t>telco-sited</t>
  </si>
  <si>
    <t>128 KBIT/S</t>
  </si>
  <si>
    <t>192 KBIT/S</t>
  </si>
  <si>
    <t>256 KBIT/S</t>
  </si>
  <si>
    <t>384 KBIT/S</t>
  </si>
  <si>
    <t>512 KBIT/S</t>
  </si>
  <si>
    <t>1984 KBIT/S</t>
  </si>
  <si>
    <t>2048 KBIT/S</t>
  </si>
  <si>
    <t>NWAD/NMUX</t>
  </si>
  <si>
    <t>passief-lokaal</t>
  </si>
  <si>
    <t>collo</t>
  </si>
  <si>
    <t>WEAS KOPER</t>
  </si>
  <si>
    <t>Copper access</t>
  </si>
  <si>
    <t>3 Mb</t>
  </si>
  <si>
    <t>5 Mb</t>
  </si>
  <si>
    <t>10 Mb</t>
  </si>
  <si>
    <t>15 Mb</t>
  </si>
  <si>
    <t>20 Mb</t>
  </si>
  <si>
    <t>Transport ethernet t.b.v. EoK aansluiting</t>
  </si>
  <si>
    <t>metro-regionaal</t>
  </si>
  <si>
    <t>TELEFONIE KLASSIEK (TDM) ten behoeve van WLR - MDF toetsing</t>
  </si>
  <si>
    <t>PSTN lijnkaart</t>
  </si>
  <si>
    <t>ISDN1 lijnkaart</t>
  </si>
  <si>
    <t>ISDN2 lijnkaart</t>
  </si>
  <si>
    <t>ISDN15 lijnkaart</t>
  </si>
  <si>
    <t>ISDN20 lijnkaart</t>
  </si>
  <si>
    <t>ISDN30 lijnkaart</t>
  </si>
  <si>
    <t>Cityphone lijnkaart</t>
  </si>
  <si>
    <t>HDSL modem (2 stuks)</t>
  </si>
  <si>
    <t>PSTN aanleg tlf deel</t>
  </si>
  <si>
    <t>eenmalig</t>
  </si>
  <si>
    <t>ISDN1 aanleg tlf deel</t>
  </si>
  <si>
    <t>ISDN2 aanleg tlf deel</t>
  </si>
  <si>
    <t>ISDN15 aanleg tlf deel</t>
  </si>
  <si>
    <t>ISDN20 aanleg tlf deel</t>
  </si>
  <si>
    <t>ISDN30 aanleg tlf deel</t>
  </si>
  <si>
    <t>Cityphone aanleg tlf deel</t>
  </si>
  <si>
    <t>PSTN ophef tlf deel</t>
  </si>
  <si>
    <t>ISDN1 ophef tlf deel</t>
  </si>
  <si>
    <t>ISDN2 ophef tlf deel</t>
  </si>
  <si>
    <t>ISDN15 ophef tlf deel</t>
  </si>
  <si>
    <t>ISDN20 ophef tlf deel</t>
  </si>
  <si>
    <t>ISDN30 ophef tlf deel</t>
  </si>
  <si>
    <t>Cityphone ophef tlf deel</t>
  </si>
  <si>
    <t>PSTN overstap</t>
  </si>
  <si>
    <t>ISDN1 overstap</t>
  </si>
  <si>
    <t>ISDN2 overstap</t>
  </si>
  <si>
    <t>ISDN15 overstap</t>
  </si>
  <si>
    <t>ISDN20 overstap</t>
  </si>
  <si>
    <t>ISDN30 overstap</t>
  </si>
  <si>
    <t>Cityphone overstap</t>
  </si>
  <si>
    <t>DIENSTPLATFORMEN</t>
  </si>
  <si>
    <t>Internet platform consumenten</t>
  </si>
  <si>
    <t>VOIP platform consumenten</t>
  </si>
  <si>
    <t>SV verbindingen</t>
  </si>
  <si>
    <t>Digiaccess platform</t>
  </si>
  <si>
    <t>TELEFONIE KLASSIEK ten behoeve van RET_WHS toetsen</t>
  </si>
  <si>
    <t>Transport regionaal-nationaal</t>
  </si>
  <si>
    <t>per minuut</t>
  </si>
  <si>
    <t>CPS lokaal</t>
  </si>
  <si>
    <t>FTA lokaal</t>
  </si>
  <si>
    <t>Voice Carrier system</t>
  </si>
  <si>
    <t>0800-0900 platform</t>
  </si>
  <si>
    <t>Dataverkeer, Mobiel radio deel</t>
  </si>
  <si>
    <t>per Mb</t>
  </si>
  <si>
    <t>SMS verkeer, Mobiel radio deel</t>
  </si>
  <si>
    <t>Telefonie offnet, Mobiel radio deel</t>
  </si>
  <si>
    <t>Dataverkeer, Mobiel vast deel</t>
  </si>
  <si>
    <t>SMS verkeer, Mobiel vast deel</t>
  </si>
  <si>
    <t>Telefonie offnet, Mobiel vast deel</t>
  </si>
  <si>
    <t>IDD, internationale deel (excl externe inkoop)</t>
  </si>
  <si>
    <t>USD per minuut</t>
  </si>
  <si>
    <t>CPA (= actieve SDH apparatuur tbv CPA)</t>
  </si>
  <si>
    <t>CPA 32</t>
  </si>
  <si>
    <t>per maand per aansluiting</t>
  </si>
  <si>
    <t>CPA 155</t>
  </si>
  <si>
    <t>CPA 622</t>
  </si>
  <si>
    <t>CPA 2500</t>
  </si>
  <si>
    <t>WEAS GLAS</t>
  </si>
  <si>
    <t>FTTO access</t>
  </si>
  <si>
    <t>A/B/C</t>
  </si>
  <si>
    <t>O</t>
  </si>
  <si>
    <t>DWDM  GLAS</t>
  </si>
  <si>
    <t>FTTO access tot en met 2,5 G standaard</t>
  </si>
  <si>
    <t>FTTO access 10 G standaard</t>
  </si>
  <si>
    <t>SDH GLAS</t>
  </si>
  <si>
    <t>SDH transport</t>
  </si>
  <si>
    <t>34 Mbps</t>
  </si>
  <si>
    <t>155 Mbps</t>
  </si>
  <si>
    <t>afstapelpunt</t>
  </si>
  <si>
    <t>passief</t>
  </si>
  <si>
    <t>WBA GLAS</t>
  </si>
  <si>
    <t>DIENSTPLATFORMEN  ten behoeve van Ret-whs toetsen</t>
  </si>
  <si>
    <t>VoIP OPIB per aansluiting</t>
  </si>
  <si>
    <t>IP centrex per kanaal</t>
  </si>
  <si>
    <t>VoIP connect per kanaal</t>
  </si>
  <si>
    <t>IAS platform per aansluiting</t>
  </si>
  <si>
    <t>Epacity platform per aansluiting</t>
  </si>
  <si>
    <t>DF ten behoeve van ILL DF-ODF toets en RET-ILL DF</t>
  </si>
  <si>
    <t>DF Backhaul MB-MC per km vezelpaar</t>
  </si>
  <si>
    <t>DF Inter-MC per km vezelpaar</t>
  </si>
  <si>
    <t>DF inter-MB per km vezelpaar</t>
  </si>
  <si>
    <t>ODF off net per aansluiting van 590 meter (gedeeld in de toekomst)</t>
  </si>
  <si>
    <t>Faciliteiten/SLAs</t>
  </si>
  <si>
    <t>PM</t>
  </si>
  <si>
    <t xml:space="preserve">Routeringpercentages verkeer </t>
  </si>
  <si>
    <t>regional</t>
  </si>
  <si>
    <t>local</t>
  </si>
  <si>
    <t>national</t>
  </si>
  <si>
    <t>WLR Portfolio Ordertypen</t>
  </si>
  <si>
    <t xml:space="preserve">PSTN en ISDN </t>
  </si>
  <si>
    <t>Oud (ex BTW)</t>
  </si>
  <si>
    <t>ex BTW</t>
  </si>
  <si>
    <t>Aanv. Vw</t>
  </si>
  <si>
    <t>Diensttype</t>
  </si>
  <si>
    <t>categorie</t>
  </si>
  <si>
    <t>categorie specificatie</t>
  </si>
  <si>
    <t>eenheid</t>
  </si>
  <si>
    <t xml:space="preserve">maandelijks </t>
  </si>
  <si>
    <t>WLR Overstap LC</t>
  </si>
  <si>
    <t>Aanleg</t>
  </si>
  <si>
    <t>Per netlijn</t>
  </si>
  <si>
    <t>WLR Overstap HC</t>
  </si>
  <si>
    <t>WLR PSTN enkelvoudig Rental Charge</t>
  </si>
  <si>
    <t>WLR ISDN 2 enkelvoudig Rental Charge</t>
  </si>
  <si>
    <t>WLR PSTN meervoudig Rental Charge</t>
  </si>
  <si>
    <t>WLR ISDN 1 meervoudig Rental Charge</t>
  </si>
  <si>
    <t>WLR ISDN 2 meervoudig Rental Charge</t>
  </si>
  <si>
    <t>WLR ISDN 15</t>
  </si>
  <si>
    <t>WLR ISDN 20</t>
  </si>
  <si>
    <t>WLR ISDN 30</t>
  </si>
  <si>
    <t>R</t>
  </si>
  <si>
    <t>WLR ISDN 30 CityPhone</t>
  </si>
  <si>
    <t>Nummerweergave (alleen een tarief bij PSTN)</t>
  </si>
  <si>
    <t>Wisselgesprek (alleen een tarief bij PSTN)</t>
  </si>
  <si>
    <t>E</t>
  </si>
  <si>
    <t>Extra ISDN nummer (eerste 4 standaard in ISDN 2)</t>
  </si>
  <si>
    <t>Per nummer</t>
  </si>
  <si>
    <t>F</t>
  </si>
  <si>
    <t>Extra ISDN nummer(s) (ISDN 2),</t>
  </si>
  <si>
    <t>Per nummer(s)</t>
  </si>
  <si>
    <t>H</t>
  </si>
  <si>
    <t>Subadressering; per nummer</t>
  </si>
  <si>
    <t>G</t>
  </si>
  <si>
    <t>Subadressering (ISDN2)</t>
  </si>
  <si>
    <t>D</t>
  </si>
  <si>
    <t>Nummerwijziging</t>
  </si>
  <si>
    <t>Per netlijn/per lijngroep</t>
  </si>
  <si>
    <t>Aan/uitzetten blokkeringen (internationaal, 090x,0906,0909)</t>
  </si>
  <si>
    <t>Aanleg/VVA</t>
  </si>
  <si>
    <t>I</t>
  </si>
  <si>
    <t>Servicecontract</t>
  </si>
  <si>
    <t>Per 5 spraakkanalen</t>
  </si>
  <si>
    <t xml:space="preserve">Gebruik WIP1, WIP2,WIP3,WIP4, WIP5, WIP 6 </t>
  </si>
  <si>
    <t xml:space="preserve"> </t>
  </si>
  <si>
    <t>Per geldige call</t>
  </si>
  <si>
    <t>Gebruik WPS Nummerinfo</t>
  </si>
  <si>
    <t>WLR type migratie PSTN- ISDN 1 (met/zonder met verhuizing)</t>
  </si>
  <si>
    <t>WLR type migratie PSTN- ISDN 2 (met/zonder met verhuizing)</t>
  </si>
  <si>
    <t>WLR type migratie ISDN 2- PSTN (met/zonder met verhuizing)</t>
  </si>
  <si>
    <t>WLR type migratie ISDN 2- ISDN 1 (met/zonder met verhuizing)</t>
  </si>
  <si>
    <t>WLR type migratie ISDN 1- ISDN 2 (met/zonder met verhuizing)</t>
  </si>
  <si>
    <t>WLR type migratie ISDN 1- PSTN (met/zonder met verhuizing)</t>
  </si>
  <si>
    <t>Verhuizing PSTN</t>
  </si>
  <si>
    <t>Verhuizing ISDN 1</t>
  </si>
  <si>
    <t>Verhuizing ISDN 2</t>
  </si>
  <si>
    <t>Verhuizing ISDN 15</t>
  </si>
  <si>
    <t>Verhuizing ISDN 20</t>
  </si>
  <si>
    <t>Verhuizing ISDN 30</t>
  </si>
  <si>
    <t>WLR type migratie van ISDN15 naar ISDN30</t>
  </si>
  <si>
    <t>WLR type migratie van ISDN15 naar ISDN20</t>
  </si>
  <si>
    <t>WLR type migratie van ISDN20 naar ISDN15</t>
  </si>
  <si>
    <t>WLR type migratie van ISDN20 naar ISDN30</t>
  </si>
  <si>
    <t>WLR type migratie van ISDN30 naar ISDN15</t>
  </si>
  <si>
    <t>WLR type migratie van ISDN30 naar ISDN20</t>
  </si>
  <si>
    <t>A, B</t>
  </si>
  <si>
    <t>WLR NLS PSTN</t>
  </si>
  <si>
    <t>WLR NLS ISDN 1</t>
  </si>
  <si>
    <t>WLR NLS ISDN 2 (doe het zelf, geen monteur)</t>
  </si>
  <si>
    <t>WLR NLS ISDN 15</t>
  </si>
  <si>
    <t>WLR NLS ISDN 20</t>
  </si>
  <si>
    <t>WLR NLS ISDN 30 / ISDN 30 CPA</t>
  </si>
  <si>
    <t>Q</t>
  </si>
  <si>
    <t>WLR NLS ISDN 30 / ISDN 30 CPA volgende aansluiting op zelfde aansluitpunt</t>
  </si>
  <si>
    <t xml:space="preserve">PSTN </t>
  </si>
  <si>
    <t>Nieuw (ex BTW)</t>
  </si>
  <si>
    <t>Aanv. Vw.</t>
  </si>
  <si>
    <t>A</t>
  </si>
  <si>
    <t>Groepsnummer</t>
  </si>
  <si>
    <t xml:space="preserve">1e t/m 100e netlijn </t>
  </si>
  <si>
    <t>101e en volgende netlijnen</t>
  </si>
  <si>
    <t>B</t>
  </si>
  <si>
    <t>voor maximaal 100 lijnen</t>
  </si>
  <si>
    <t>Ophef</t>
  </si>
  <si>
    <t xml:space="preserve">Mutaties </t>
  </si>
  <si>
    <t>opzeggen lijn uit lijngroep</t>
  </si>
  <si>
    <t>aanleggen lijn in lijngroep</t>
  </si>
  <si>
    <t>uitgaande lijnen dubbelgericht maken</t>
  </si>
  <si>
    <t>Dubbelgerichte lijnen uitgaand maken</t>
  </si>
  <si>
    <t>Omzetten groepsnummer in doorkiesreeks</t>
  </si>
  <si>
    <t>Omzetten doorkiesreeks in groepsnummer</t>
  </si>
  <si>
    <t>Van doorkiesnummer naar groepsnummer</t>
  </si>
  <si>
    <t>Per lijngroep</t>
  </si>
  <si>
    <t>C</t>
  </si>
  <si>
    <t>Verhuizing</t>
  </si>
  <si>
    <t>toeslag op basistarief voor verhuizing</t>
  </si>
  <si>
    <t>Direct aankiesbare onderlijn</t>
  </si>
  <si>
    <t>Voorkeurschakeling</t>
  </si>
  <si>
    <t>Mutatie</t>
  </si>
  <si>
    <t>Doorkiesfaciliteit</t>
  </si>
  <si>
    <t>voor 101e en meer</t>
  </si>
  <si>
    <t xml:space="preserve">toevoegen/wegnemen bestaande lijnen </t>
  </si>
  <si>
    <t>dubbelgerichte lijnen uitgaand maken</t>
  </si>
  <si>
    <t>Nummerblokken (alleen i.c.m. doorkiesfaciliteit</t>
  </si>
  <si>
    <t>10 (in gebruik)</t>
  </si>
  <si>
    <t>1e blok</t>
  </si>
  <si>
    <t>2e en volgende blok</t>
  </si>
  <si>
    <t>100 (in gebruik)</t>
  </si>
  <si>
    <t>1000 (in gebruik)</t>
  </si>
  <si>
    <t>10000 (in gebruik)</t>
  </si>
  <si>
    <t>100 (gereserveerd)</t>
  </si>
  <si>
    <t>1000 (gereserveerd)</t>
  </si>
  <si>
    <t>10000 (gereserveerd)</t>
  </si>
  <si>
    <t>10000 ((gereserveerd)</t>
  </si>
  <si>
    <t>aanleg</t>
  </si>
  <si>
    <t>reserveren</t>
  </si>
  <si>
    <t xml:space="preserve">A: Hier geldt ook de VVA voor de meervoudige onderliggende netlijn </t>
  </si>
  <si>
    <t xml:space="preserve">B: Hier geldt ook de VVE voor aanleg per enkelvoudige netlijn </t>
  </si>
  <si>
    <t>C: Hier geldt ook de VVE voor de verhuizing per enkelvoudige netlijn</t>
  </si>
  <si>
    <t>D: Tarief = 0 als aanleg in combinatie met aanleg of uitbreiding groepsnummerfaciliteit</t>
  </si>
  <si>
    <t>ISDN 2</t>
  </si>
  <si>
    <t xml:space="preserve">Retail tarief </t>
  </si>
  <si>
    <t>B,D</t>
  </si>
  <si>
    <t>opzeggen lijn uit groepsnummer</t>
  </si>
  <si>
    <t>aanleggen lijn in groepsnummer</t>
  </si>
  <si>
    <t>Nummerblokken alleen i.c.m. doorkiesfaciliteit</t>
  </si>
  <si>
    <t>10 (gereserveerd)</t>
  </si>
  <si>
    <t>per blok</t>
  </si>
  <si>
    <t>A: Hier geldt ook de VVA voor de meervoudige onderliggende netlijn</t>
  </si>
  <si>
    <t xml:space="preserve">B: Hier geldt ook de VVE voor aanleg per enkelvoudige netlijn bij nieuwe aanleg </t>
  </si>
  <si>
    <t>D: Tarief = 0 als aanleg in combinatie met aanleg van de ISDN netlijn</t>
  </si>
  <si>
    <t>Aanvullende Faciliteiten</t>
  </si>
  <si>
    <t>Verwijsdienst</t>
  </si>
  <si>
    <t>enkelvoudig en meervoudig =&lt; 6 kanalen</t>
  </si>
  <si>
    <t>meervoudig &gt; 6 kanalen</t>
  </si>
  <si>
    <t>op doorkiesfaciliteit</t>
  </si>
  <si>
    <t>aanvraag</t>
  </si>
  <si>
    <t>ophef</t>
  </si>
  <si>
    <t>enkelvoudig</t>
  </si>
  <si>
    <t>meervoudig</t>
  </si>
  <si>
    <t>Doorschakeldienst</t>
  </si>
  <si>
    <t>groep/doorkies</t>
  </si>
  <si>
    <t>A: Minimale contractduur is 6 maanden</t>
  </si>
  <si>
    <t xml:space="preserve">B: Minimale contractduur is 6 maanden, maximale contractduur is 12 maanden </t>
  </si>
  <si>
    <t>Kostenindicatie ISDN</t>
  </si>
  <si>
    <t>Kostenindicatie bij beëindigen communicatie</t>
  </si>
  <si>
    <t>Kostenindicatie tijdens en bij beëindigen communicatie</t>
  </si>
  <si>
    <t>ISDN 15 / 20 / 30 faciliteiten</t>
  </si>
  <si>
    <t>Aanvraag extra groeps/enkelvoudige nummer</t>
  </si>
  <si>
    <t>aanleg/VVA</t>
  </si>
  <si>
    <t>2e t/m 15 extra (mrop)nummers</t>
  </si>
  <si>
    <t>per nummer</t>
  </si>
  <si>
    <t>boven de 15 groeps/enkelvoudige nummers</t>
  </si>
  <si>
    <t>C : hiervoor geldt altijd tarief Per Nummer, Eenmalig en Per Maand</t>
  </si>
  <si>
    <t>CalamiteitenService</t>
  </si>
  <si>
    <t>Retail tarief minus WLR-minus</t>
  </si>
  <si>
    <t>&lt;= 30 Kanalen</t>
  </si>
  <si>
    <t>Inschakeltarief &lt;= 30 Kanalen</t>
  </si>
  <si>
    <t>Inschakeltarief &gt; 30 Kanalen</t>
  </si>
  <si>
    <t>&gt; 30 Kanalen</t>
  </si>
  <si>
    <t>Inschakeltarief adhoc &lt;= 30 Kanalen</t>
  </si>
  <si>
    <t>Inschakeltarief adhoc &gt; 30 Kanalen</t>
  </si>
  <si>
    <t>Contractswijziging &lt;= 30 kanalen</t>
  </si>
  <si>
    <t>Contractswijziging &gt; 30 kanalen</t>
  </si>
  <si>
    <t>Calamiteitenvoorziening</t>
  </si>
  <si>
    <t>per aansluiting</t>
  </si>
  <si>
    <t>&lt;= 60 Kanalen</t>
  </si>
  <si>
    <t>&lt;= 120 Kanalen</t>
  </si>
  <si>
    <t>&gt; 120 Kanalen</t>
  </si>
  <si>
    <t>activatie</t>
  </si>
  <si>
    <t>verkeerskosten op basis van afkoop binnen de regio</t>
  </si>
  <si>
    <t>per lijn per dag</t>
  </si>
  <si>
    <t>verkeerskosten op basis van afkoop buiten de regio</t>
  </si>
  <si>
    <t>A: inclusief 1x test per jaar</t>
  </si>
  <si>
    <t>B: kosten na activatie</t>
  </si>
  <si>
    <t>Dual Homing</t>
  </si>
  <si>
    <t>mutatie</t>
  </si>
  <si>
    <t>Abonnementsvergoeding</t>
  </si>
  <si>
    <t>Abonnementsvergoeding nummerblok van 1000</t>
  </si>
  <si>
    <t>CVI Kenmerk</t>
  </si>
  <si>
    <t xml:space="preserve">aanleg faciliteit </t>
  </si>
  <si>
    <t>aansluiting</t>
  </si>
  <si>
    <t xml:space="preserve">kosten voor faciliteit </t>
  </si>
  <si>
    <t>mutatiekosten nummers</t>
  </si>
  <si>
    <t>nummer</t>
  </si>
  <si>
    <t>mutatiekosten blokken (10/100/1000)</t>
  </si>
  <si>
    <t>nummerblok</t>
  </si>
  <si>
    <t>A: Tarieven nog onder voorbehoud goedkeuring OPTA</t>
  </si>
  <si>
    <t xml:space="preserve">Gemiddeld profiel </t>
  </si>
  <si>
    <t>Aanbieding</t>
  </si>
  <si>
    <t>BIBA_calls</t>
  </si>
  <si>
    <t>BIBA_minuten</t>
  </si>
  <si>
    <t>BUBA_calls</t>
  </si>
  <si>
    <t>VAMO_calls</t>
  </si>
  <si>
    <t>VAMO_minuten</t>
  </si>
  <si>
    <t>IDD_calls</t>
  </si>
  <si>
    <t>IDD_minuten</t>
  </si>
  <si>
    <t>BCKPNMobiel_calls</t>
  </si>
  <si>
    <t>BCKPNMobiel_minuten</t>
  </si>
  <si>
    <t>terminating</t>
  </si>
  <si>
    <t>carrier select</t>
  </si>
  <si>
    <t>Soort</t>
  </si>
  <si>
    <t>VVV</t>
  </si>
  <si>
    <t>in euro's per minuut</t>
  </si>
  <si>
    <t>WO identifier</t>
  </si>
  <si>
    <t>1. Verkeerskosten per minuut</t>
  </si>
  <si>
    <t>Categorie</t>
  </si>
  <si>
    <t>Terminating</t>
  </si>
  <si>
    <t>CPS</t>
  </si>
  <si>
    <t>FTA</t>
  </si>
  <si>
    <t>MTA</t>
  </si>
  <si>
    <t>xta</t>
  </si>
  <si>
    <t>Bereik</t>
  </si>
  <si>
    <t>all</t>
  </si>
  <si>
    <t>terminating access poort nationaal/regionaal</t>
  </si>
  <si>
    <t>originating access poort national/regional</t>
  </si>
  <si>
    <t>Routeringpercentages</t>
  </si>
  <si>
    <t>identifier</t>
  </si>
  <si>
    <t>Identifier</t>
  </si>
  <si>
    <t>Term+CPS</t>
  </si>
  <si>
    <t>Inkoop</t>
  </si>
  <si>
    <t>per 2Mb</t>
  </si>
  <si>
    <t>access poort factor</t>
  </si>
  <si>
    <t>terminating access poort</t>
  </si>
  <si>
    <t>originating access poort</t>
  </si>
  <si>
    <t>Gemiddeld IDD inkoop per minuut</t>
  </si>
  <si>
    <t>ITA</t>
  </si>
  <si>
    <t>Business Voice Zakelijk Glas</t>
  </si>
  <si>
    <t>Identifier rekenblad totaal</t>
  </si>
  <si>
    <t>Identifier transfersheet</t>
  </si>
  <si>
    <t>VVE Type</t>
  </si>
  <si>
    <t>dimensies retail</t>
  </si>
  <si>
    <t>WO identifier VVE</t>
  </si>
  <si>
    <t>WO identifier VVA</t>
  </si>
  <si>
    <t>dimensies inkoop</t>
  </si>
  <si>
    <t>WLR PSTN enkelvoudig Rental ChargeVVA</t>
  </si>
  <si>
    <t>WLR ISDN 1 enkelvoudig Rental ChargeVVA</t>
  </si>
  <si>
    <t>WLR ISDN 2 enkelvoudig Rental ChargeVVA</t>
  </si>
  <si>
    <t>WLR NLS PSTNAanleg</t>
  </si>
  <si>
    <t>WLR NLS ISDN 1Aanleg</t>
  </si>
  <si>
    <t>WLR NLS ISDN 2 (doe het zelf, geen monteur)Aanleg</t>
  </si>
  <si>
    <t>WLR NLS ISDN 15Aanleg</t>
  </si>
  <si>
    <t>WLR NLS ISDN 20Aanleg</t>
  </si>
  <si>
    <t>WLR NLS ISDN 30 / ISDN 30 CPAAanleg</t>
  </si>
  <si>
    <t>WLR ISDN 15VVA</t>
  </si>
  <si>
    <t>WLR ISDN 20VVA</t>
  </si>
  <si>
    <t>WLR ISDN 30VVA</t>
  </si>
  <si>
    <t>WLR ISDN 30 CityPhoneVVA</t>
  </si>
  <si>
    <t>WLR Overstap LCAanleg</t>
  </si>
  <si>
    <t>WLR Overstap HCAanleg</t>
  </si>
  <si>
    <t>Tarief Type</t>
  </si>
  <si>
    <t>VVE nieuwe aanleg</t>
  </si>
  <si>
    <t>VVE overstap</t>
  </si>
  <si>
    <t>WLR Type</t>
  </si>
  <si>
    <t>WLR ISDN 15 enkelvoudig Rental ChargeVVA</t>
  </si>
  <si>
    <t>WLR ISDN 20 enkelvoudig Rental ChargeVVA</t>
  </si>
  <si>
    <t>PSTN</t>
  </si>
  <si>
    <t>ISDN1</t>
  </si>
  <si>
    <t>ISDN2</t>
  </si>
  <si>
    <t>ISDN15</t>
  </si>
  <si>
    <t>Type Aansluiting</t>
  </si>
  <si>
    <t>ISDN20</t>
  </si>
  <si>
    <t>ISDN30</t>
  </si>
  <si>
    <t>CityPhone</t>
  </si>
  <si>
    <t>KPN Zakelijk BelBasis</t>
  </si>
  <si>
    <t>TZ BelBasis</t>
  </si>
  <si>
    <t>VVA Type</t>
  </si>
  <si>
    <t>ZM identifier VVE</t>
  </si>
  <si>
    <t>ZM identifier VVA</t>
  </si>
  <si>
    <t>ZM_VVA</t>
  </si>
  <si>
    <t>ZM_VVE</t>
  </si>
  <si>
    <t>WHOLESALE KOSTEN</t>
  </si>
  <si>
    <t>WO_VVA</t>
  </si>
  <si>
    <t>WO_VVE</t>
  </si>
  <si>
    <t>SQUEEZE TOETS</t>
  </si>
  <si>
    <t>Squeeze Marge (abs)</t>
  </si>
  <si>
    <t>Squeeze Marge (%)</t>
  </si>
  <si>
    <t>Squeeze ?</t>
  </si>
  <si>
    <t>VVA netto + VVE netto (mnd)</t>
  </si>
  <si>
    <t>rijnummer_tarievensheet</t>
  </si>
  <si>
    <t>ZM Totaal (VVA netto + VVE netto (mnd))</t>
  </si>
  <si>
    <t>ZBT</t>
  </si>
  <si>
    <t>Flatfee bedrag</t>
  </si>
  <si>
    <t>FlatFee bedrag</t>
  </si>
  <si>
    <t>2. KPN ZM+Telfort Zakelijk verkeerstarieven</t>
  </si>
  <si>
    <t>Business Voice Nationaal</t>
  </si>
  <si>
    <t>Business Voice variant</t>
  </si>
  <si>
    <t>Bedrag</t>
  </si>
  <si>
    <t>Kortingspercentage</t>
  </si>
  <si>
    <t>Verkeersprofielen</t>
  </si>
  <si>
    <t>Business Voice Vast Mobiel10</t>
  </si>
  <si>
    <t>Business Voice Nationaal10</t>
  </si>
  <si>
    <t>RETAIL OMZET</t>
  </si>
  <si>
    <t>Bruto omzet</t>
  </si>
  <si>
    <t>Korting percentages</t>
  </si>
  <si>
    <t>Netto omzet</t>
  </si>
  <si>
    <t>Omzet netto totaal</t>
  </si>
  <si>
    <t>Business Voice Vast Mobiel</t>
  </si>
  <si>
    <t>Business Voice Internationaal</t>
  </si>
  <si>
    <t>BUBA_minuten</t>
  </si>
  <si>
    <t>Bruto omzet totaal</t>
  </si>
  <si>
    <t>Inkoop totaal per minuut</t>
  </si>
  <si>
    <t>Kosten totaal</t>
  </si>
  <si>
    <t>W&amp;O Kosten totaal</t>
  </si>
  <si>
    <t>ZM KOSTEN</t>
  </si>
  <si>
    <t>DV</t>
  </si>
  <si>
    <t>DGO</t>
  </si>
  <si>
    <t>ZM Kosten totaal</t>
  </si>
  <si>
    <t>W&amp;O en ZM kosten</t>
  </si>
  <si>
    <t>FlatFee Bedrag</t>
  </si>
  <si>
    <t>Kortingstaffel</t>
  </si>
  <si>
    <t>ZM identifier profiel</t>
  </si>
  <si>
    <t>ZM identifier kortingstaffel</t>
  </si>
  <si>
    <t>Cityphone</t>
  </si>
  <si>
    <t>Business Voice Internationaal10</t>
  </si>
  <si>
    <t>generiek nationaal</t>
  </si>
  <si>
    <t>generiek vamo</t>
  </si>
  <si>
    <t>generiek idd</t>
  </si>
  <si>
    <t>Zakelijk BelBasisgeneriek nationaal</t>
  </si>
  <si>
    <t>Zakelijk BelBasisgeneriek vamo</t>
  </si>
  <si>
    <t>Zakelijk BelBasisgeneriek idd</t>
  </si>
  <si>
    <t>1.0</t>
  </si>
  <si>
    <t>TZ Max</t>
  </si>
  <si>
    <t>TZ Max1.0</t>
  </si>
  <si>
    <t>3. KPN ZM+Telfort Zakelijk faciliteiten</t>
  </si>
  <si>
    <t>Aankiesbare onderlijn</t>
  </si>
  <si>
    <t>CalamiteitenService &lt;= 30 kanalen</t>
  </si>
  <si>
    <t>Calamiteitenvoorziening &lt;= 60 kanalen</t>
  </si>
  <si>
    <t>Doorkiezen</t>
  </si>
  <si>
    <t>Doorschakeldienst t/m 6 kanalen</t>
  </si>
  <si>
    <t>Doorschakeldienst MV &gt; 6 kanalen</t>
  </si>
  <si>
    <t>Extra nummer</t>
  </si>
  <si>
    <t>Kostenindicatie</t>
  </si>
  <si>
    <t>MSN nummer</t>
  </si>
  <si>
    <t>Nummerblok 10 eerste</t>
  </si>
  <si>
    <t>Nummerblok 10 volgende</t>
  </si>
  <si>
    <t>Nummerblok 100 eerste</t>
  </si>
  <si>
    <t>Nummerblok 100 volgende</t>
  </si>
  <si>
    <t>Nummerblok 1000 eerste</t>
  </si>
  <si>
    <t>Nummerblok 1000 volgende</t>
  </si>
  <si>
    <t>Nummerweergave</t>
  </si>
  <si>
    <t>Service Contract Premium A</t>
  </si>
  <si>
    <t>Service Contract Premium B</t>
  </si>
  <si>
    <t>Subadressering</t>
  </si>
  <si>
    <t>Verwijsdienst t/m 6 kanalen</t>
  </si>
  <si>
    <t>Wisselgesprek</t>
  </si>
  <si>
    <t>1. Aansluitingen</t>
  </si>
  <si>
    <t>1. Faciliteiten</t>
  </si>
  <si>
    <t>Nummerblokken alleen i.c.m. doorkiesfaciliteitVVA10 (in gebruik)1e blok</t>
  </si>
  <si>
    <t>Nummerblokken alleen i.c.m. doorkiesfaciliteitVVA100 (in gebruik)1e blok</t>
  </si>
  <si>
    <t>Nummerblokken alleen i.c.m. doorkiesfaciliteitVVA1000 (in gebruik)1e blok</t>
  </si>
  <si>
    <t>Nummerblokken alleen i.c.m. doorkiesfaciliteitVVA10 (in gebruik)2e en volgende blok</t>
  </si>
  <si>
    <t>Nummerblokken alleen i.c.m. doorkiesfaciliteitVVA100 (in gebruik)2e en volgende blok</t>
  </si>
  <si>
    <t>Nummerblokken alleen i.c.m. doorkiesfaciliteitVVA1000 (in gebruik)2e en volgende blok</t>
  </si>
  <si>
    <t>Direct aankiesbare onderlijnVVAPer netlijn</t>
  </si>
  <si>
    <t>CalamiteitenServiceVVA&lt;= 30 Kanalen</t>
  </si>
  <si>
    <t>CalamiteitenServiceaanvraag&lt;= 30 Kanalen</t>
  </si>
  <si>
    <t>Nummerblokken alleen i.c.m. doorkiesfaciliteitaanleg10 (in gebruik)1e blok</t>
  </si>
  <si>
    <t>Nummerblokken alleen i.c.m. doorkiesfaciliteitaanleg100 (in gebruik)1e blok</t>
  </si>
  <si>
    <t>Nummerblokken alleen i.c.m. doorkiesfaciliteitaanleg1000 (in gebruik)1e blok</t>
  </si>
  <si>
    <t>Direct aankiesbare onderlijnAanlegPer netlijn</t>
  </si>
  <si>
    <t>Nummerblokken alleen i.c.m. doorkiesfaciliteitaanleg10 (in gebruik)2e en volgende blok</t>
  </si>
  <si>
    <t>Nummerblokken alleen i.c.m. doorkiesfaciliteitaanleg100 (in gebruik)2e en volgende blok</t>
  </si>
  <si>
    <t>Nummerblokken alleen i.c.m. doorkiesfaciliteitaanleg1000 (in gebruik)2e en volgende blok</t>
  </si>
  <si>
    <t>CalamiteitenvoorzieningVVA&lt;= 60 Kanalenper aansluiting</t>
  </si>
  <si>
    <t>Calamiteitenvoorzieningaanvraagper aansluiting</t>
  </si>
  <si>
    <t>DoorkiesfaciliteitVVAPer lijngroep</t>
  </si>
  <si>
    <t>DoorkiesfaciliteitAanlegPer lijngroep</t>
  </si>
  <si>
    <t>DoorschakeldienstVVAenkelvoudig en meervoudig =&lt; 6 kanalen</t>
  </si>
  <si>
    <t>DoorschakeldienstVVAmeervoudig &gt; 6 kanalen</t>
  </si>
  <si>
    <t>Doorschakeldienstaanvraagenkelvoudig en meervoudig =&lt; 6 kanalen</t>
  </si>
  <si>
    <t>Doorschakeldienstaanvraagmeervoudig &gt; 6 kanalen</t>
  </si>
  <si>
    <t>Aanvraag extra groeps/enkelvoudige nummeraanleg/VVA2e t/m 15 extra (mrop)nummersper nummer</t>
  </si>
  <si>
    <t>GroepsnummerVVAPer lijngroep</t>
  </si>
  <si>
    <t>GroepsnummerAanlegPer lijngroep</t>
  </si>
  <si>
    <t>Kostenindicatie bij beëindigen communicatieVVA</t>
  </si>
  <si>
    <t>Kostenindicatie bij beëindigen communicatieaanvraag</t>
  </si>
  <si>
    <t>Extra ISDN nummer (eerste 4 standaard in ISDN 2)VVA</t>
  </si>
  <si>
    <t>Extra ISDN nummer(s) (ISDN 2),Aanleg</t>
  </si>
  <si>
    <t>Nummerweergave (alleen een tarief bij PSTN)VVA</t>
  </si>
  <si>
    <t>ServicecontractVVA</t>
  </si>
  <si>
    <t>Subadressering; per nummerVVA</t>
  </si>
  <si>
    <t>Subadressering (ISDN2)Aanleg</t>
  </si>
  <si>
    <t>VerwijsdienstVVAenkelvoudig en meervoudig =&lt; 6 kanalen</t>
  </si>
  <si>
    <t>Verwijsdienstaanvraagenkelvoudig en meervoudig =&lt; 6 kanalen</t>
  </si>
  <si>
    <t>Wisselgesprek (alleen een tarief bij PSTN)VVA</t>
  </si>
  <si>
    <t>1-jaar contract</t>
  </si>
  <si>
    <t>2-jaar contract</t>
  </si>
  <si>
    <t>3-jaar contract</t>
  </si>
  <si>
    <t>Zakelijk BelBasis1-jaar contract</t>
  </si>
  <si>
    <t>Zakelijk BelBasis2-jaar contract</t>
  </si>
  <si>
    <t>Zakelijk BelBasis3-jaar contract</t>
  </si>
  <si>
    <t>CSO</t>
  </si>
  <si>
    <t>omzet Faciliteiten overig</t>
  </si>
  <si>
    <t>WLR retailminus % VVA</t>
  </si>
  <si>
    <t>WLR retailminus % VVE</t>
  </si>
  <si>
    <t>nvt</t>
  </si>
  <si>
    <t>Dimensies gemeenschappelijk</t>
  </si>
  <si>
    <t>DIMENSIES RETAIL</t>
  </si>
  <si>
    <t>ZM Sleutels</t>
  </si>
  <si>
    <t>Complete aansluitingen sleutel</t>
  </si>
  <si>
    <t>Complete verkeers sleutel</t>
  </si>
  <si>
    <t>rijen brontoets</t>
  </si>
  <si>
    <t>rijnummer aansluitingen</t>
  </si>
  <si>
    <t>rijnummer verkeer</t>
  </si>
  <si>
    <t>Retail omzet</t>
  </si>
  <si>
    <t>ZM aansluitingen(VVA+VVE)</t>
  </si>
  <si>
    <t>ZM verkeer</t>
  </si>
  <si>
    <t>ZM Totaal</t>
  </si>
  <si>
    <t>Squeeze marge abs</t>
  </si>
  <si>
    <t>Combi</t>
  </si>
  <si>
    <t>Profiel</t>
  </si>
  <si>
    <t>Aantal teleenheden WLR inkoop</t>
  </si>
  <si>
    <t>Aantal kanalen</t>
  </si>
  <si>
    <t>aandeel klanten met service</t>
  </si>
  <si>
    <t>omzet nr blokken</t>
  </si>
  <si>
    <t>ISDN2 MV</t>
  </si>
  <si>
    <t>PSTN2 MV</t>
  </si>
  <si>
    <t>Aankiesbare
 onderlijn</t>
  </si>
  <si>
    <t>Calamiteiten
Service &lt;= 30 kanalen</t>
  </si>
  <si>
    <t>Calamiteiten
voorziening &lt;= 60 kanalen</t>
  </si>
  <si>
    <t>Doorschakel
dienst t/m 6 kanalen</t>
  </si>
  <si>
    <t>Doorschakel
dienst MV &gt; 6 kanalen</t>
  </si>
  <si>
    <t>Kosten
indicatie</t>
  </si>
  <si>
    <t>Nummer
weergave</t>
  </si>
  <si>
    <t>Sub
adressering</t>
  </si>
  <si>
    <t>Verwijs
dienst</t>
  </si>
  <si>
    <t>Verwijs
dienst t/m 6 kanalen</t>
  </si>
  <si>
    <t>Wissel
gesprek</t>
  </si>
  <si>
    <t>n1*ISDN2</t>
  </si>
  <si>
    <t>n2*ISDN15</t>
  </si>
  <si>
    <t>n3*ISDN20</t>
  </si>
  <si>
    <t>n4*ISDN30</t>
  </si>
  <si>
    <t>Nummer
blok 10000 eerste</t>
  </si>
  <si>
    <t>ZM indentifier</t>
  </si>
  <si>
    <t>n1*</t>
  </si>
  <si>
    <t>n2*</t>
  </si>
  <si>
    <t>n3*</t>
  </si>
  <si>
    <t>n4*</t>
  </si>
  <si>
    <t>Zm identifier aansluiting</t>
  </si>
  <si>
    <t>Type profiel</t>
  </si>
  <si>
    <t>BelBasis</t>
  </si>
  <si>
    <t>Squeezemarge van aansluiting</t>
  </si>
  <si>
    <t>Squeezemarge aansluiting totaal</t>
  </si>
  <si>
    <t>ZM VVA tarief</t>
  </si>
  <si>
    <t>ZM VVE tarief</t>
  </si>
  <si>
    <t>ZM omzet faciliteiten VVA</t>
  </si>
  <si>
    <t>ZM omzet faciliteiten VVE</t>
  </si>
  <si>
    <t>ZM omzet  faciliteiten totaal</t>
  </si>
  <si>
    <t>W&amp;O VVA tarief</t>
  </si>
  <si>
    <t>Nummerblokken alleen i.c.m. doorkiesfaciliteitVVA10000 (in gebruik)1e blok</t>
  </si>
  <si>
    <t>Nummerblokken alleen i.c.m. doorkiesfaciliteitaanleg10000 (in gebruik)1e blok</t>
  </si>
  <si>
    <t>W&amp;O VVE tarief</t>
  </si>
  <si>
    <t>WO kosten faciliteiten VVA</t>
  </si>
  <si>
    <t>WO kosten faciliteiten VVE</t>
  </si>
  <si>
    <t>WO kosten  faciliteiten totaal</t>
  </si>
  <si>
    <t>ZM omzet</t>
  </si>
  <si>
    <t>WO kosten</t>
  </si>
  <si>
    <t>ZM KOSTEN Faciliteiten</t>
  </si>
  <si>
    <t>Kosten faciliteiten totaal</t>
  </si>
  <si>
    <t>ZM omzet van aansluiting</t>
  </si>
  <si>
    <t>ZM aansluitingen omzet</t>
  </si>
  <si>
    <t>incentive</t>
  </si>
  <si>
    <t>Retailopslag le/corporate</t>
  </si>
  <si>
    <t>Verkeer</t>
  </si>
  <si>
    <t>Zakelijk BelBasisBIBA</t>
  </si>
  <si>
    <t>Zakelijk BelBasisBUBA</t>
  </si>
  <si>
    <t>Zakelijk BelBasisVAMO</t>
  </si>
  <si>
    <t>Zakelijk BelBasisIDD</t>
  </si>
  <si>
    <t>TZ MaxBIBA</t>
  </si>
  <si>
    <t>TZ MaxBUBA</t>
  </si>
  <si>
    <t>TZ MaxVAMO</t>
  </si>
  <si>
    <t>TZ MaxIDD</t>
  </si>
  <si>
    <t>Verkeerscategorie</t>
  </si>
  <si>
    <t>KWTtransfeersheet identifier</t>
  </si>
  <si>
    <t>Nummerblok 10000 eerste</t>
  </si>
  <si>
    <t>Nummerblok 10000 volgende</t>
  </si>
  <si>
    <t>De Zakelijke Doorschakeldienst Aansluiting</t>
  </si>
  <si>
    <t>DZD mutaties enkele nummers</t>
  </si>
  <si>
    <t>DZD mutaties nummerblokken</t>
  </si>
  <si>
    <t>Nummerblokken alleen i.c.m. doorkiesfaciliteitVVA10000 (in gebruik)2e en volgende blok</t>
  </si>
  <si>
    <t>Nummerblokken alleen i.c.m. doorkiesfaciliteitaanleg10000 (in gebruik)2e en volgende blok</t>
  </si>
  <si>
    <t xml:space="preserve">CVI KenmerkVVAkosten voor faciliteit </t>
  </si>
  <si>
    <t>CVI Kenmerkaanvraagaanleg faciliteit aansluiting</t>
  </si>
  <si>
    <t>CVI KenmerkMutaties mutatiekosten nummersnummer</t>
  </si>
  <si>
    <t>CVI KenmerkMutaties mutatiekosten blokken (10/100/1000)nummerblok</t>
  </si>
  <si>
    <t>KPN identifier</t>
  </si>
  <si>
    <t>Telfort identifier</t>
  </si>
  <si>
    <t>Inkoop totaal per gesprek</t>
  </si>
  <si>
    <t>BC IS 100 (1 tm 4 kanalen)</t>
  </si>
  <si>
    <t>BC IS 100 (5 tm 10 kanalen)</t>
  </si>
  <si>
    <t>BC IS 300</t>
  </si>
  <si>
    <t>BC IS 600 per Contract</t>
  </si>
  <si>
    <t>BC IS 600 per Vestiging</t>
  </si>
  <si>
    <t>BC IS 900 per Contract</t>
  </si>
  <si>
    <t>BC IS 900 per Vestiging</t>
  </si>
  <si>
    <t>BC IS 900XL per Contract</t>
  </si>
  <si>
    <t>BC IS 900XL per Vestiging</t>
  </si>
  <si>
    <t>Extra ISDN nr (MSN) 1 tm 3</t>
  </si>
  <si>
    <t>Extra ISDN nr (MSN) 4 tm 7</t>
  </si>
  <si>
    <t>Extra groeps-/ev nr (MROP) 1</t>
  </si>
  <si>
    <t>Extra groeps-/ev nr (MROP) 2 tm 15</t>
  </si>
  <si>
    <t>Extra groeps-/ev nr (MROP) 16 en meer</t>
  </si>
  <si>
    <t>Rekenblad Verkeer identifier</t>
  </si>
  <si>
    <t>Kortingsstaffels KPN en Telfort Zakelijk</t>
  </si>
  <si>
    <t>berekening</t>
  </si>
  <si>
    <t>Aanvraag extra groeps/enkelvoudige nummeraanleg/VVAboven de 15 groeps/enkelvoudige nummersper nummer</t>
  </si>
  <si>
    <t>Slim BereikbaarISDN1</t>
  </si>
  <si>
    <t>Slim BereikbaarISDN2</t>
  </si>
  <si>
    <t>Slim Bereikbaar</t>
  </si>
  <si>
    <t>TZ ZBT</t>
  </si>
  <si>
    <t>ZBTISDN1</t>
  </si>
  <si>
    <t>ZBTISDN2</t>
  </si>
  <si>
    <t>ZBTISDN15</t>
  </si>
  <si>
    <t>ZBTISDN20</t>
  </si>
  <si>
    <t>ZBTCityPhone</t>
  </si>
  <si>
    <t>Diensten sleutel</t>
  </si>
  <si>
    <t>Data dienst</t>
  </si>
  <si>
    <t>Contractduur</t>
  </si>
  <si>
    <t>Gebied</t>
  </si>
  <si>
    <t>rijnummer data</t>
  </si>
  <si>
    <t>Data (VVA+VVE)</t>
  </si>
  <si>
    <t>Complete data sleutel access</t>
  </si>
  <si>
    <t>Data sleutel Ontstapelen</t>
  </si>
  <si>
    <t>WLR PSTN meervoudig Rental ChargeVVA</t>
  </si>
  <si>
    <t>WLR ISDN 1 meervoudig Rental ChargeVVA</t>
  </si>
  <si>
    <t>WLR ISDN 2 meervoudig Rental ChargeVVA</t>
  </si>
  <si>
    <t/>
  </si>
  <si>
    <t>NummerwijzigingAanleg</t>
  </si>
  <si>
    <t>Aan/uitzetten blokkeringen (internationaal, 090x,0906,0909)Aanleg/VVA</t>
  </si>
  <si>
    <t>Gebruik WIP1, WIP2,WIP3,WIP4, WIP5, WIP 6 VVE</t>
  </si>
  <si>
    <t>Gebruik WPS NummerinfoVVE</t>
  </si>
  <si>
    <t>WLR type migratie PSTN- ISDN 1 (met/zonder met verhuizing)Aanleg</t>
  </si>
  <si>
    <t>WLR type migratie PSTN- ISDN 2 (met/zonder met verhuizing)Aanleg</t>
  </si>
  <si>
    <t>WLR type migratie ISDN 2- PSTN (met/zonder met verhuizing)Aanleg</t>
  </si>
  <si>
    <t>WLR type migratie ISDN 2- ISDN 1 (met/zonder met verhuizing)Aanleg</t>
  </si>
  <si>
    <t>WLR type migratie ISDN 1- ISDN 2 (met/zonder met verhuizing)Aanleg</t>
  </si>
  <si>
    <t>WLR type migratie ISDN 1- PSTN (met/zonder met verhuizing)Aanleg</t>
  </si>
  <si>
    <t>Verhuizing PSTNAanleg</t>
  </si>
  <si>
    <t>Verhuizing ISDN 1Aanleg</t>
  </si>
  <si>
    <t>Verhuizing ISDN 2Aanleg</t>
  </si>
  <si>
    <t>Verhuizing ISDN 15Aanleg</t>
  </si>
  <si>
    <t>Verhuizing ISDN 20Aanleg</t>
  </si>
  <si>
    <t>Verhuizing ISDN 30Aanleg</t>
  </si>
  <si>
    <t>WLR type migratie van ISDN15 naar ISDN30Aanleg</t>
  </si>
  <si>
    <t>WLR type migratie van ISDN15 naar ISDN20Aanleg</t>
  </si>
  <si>
    <t>WLR type migratie van ISDN20 naar ISDN15Aanleg</t>
  </si>
  <si>
    <t>WLR type migratie van ISDN20 naar ISDN30Aanleg</t>
  </si>
  <si>
    <t>WLR type migratie van ISDN30 naar ISDN15Aanleg</t>
  </si>
  <si>
    <t>WLR type migratie van ISDN30 naar ISDN20Aanleg</t>
  </si>
  <si>
    <t>WLR NLS ISDN 30 / ISDN 30 CPA volgende aansluiting op zelfde aansluitpuntAanleg</t>
  </si>
  <si>
    <t>Diensttypecategoriecategorie specificatieeenheid</t>
  </si>
  <si>
    <t>GroepsnummerVVA1e t/m 100e netlijn Per netlijn</t>
  </si>
  <si>
    <t>GroepsnummerVVA101e en volgende netlijnenPer netlijn</t>
  </si>
  <si>
    <t>GroepsnummerAanlegvoor maximaal 100 lijnenPer netlijn</t>
  </si>
  <si>
    <t>GroepsnummerOphefPer netlijn</t>
  </si>
  <si>
    <t>GroepsnummerMutaties opzeggen lijn uit lijngroepPer netlijn</t>
  </si>
  <si>
    <t>GroepsnummerMutaties aanleggen lijn in lijngroepPer netlijn</t>
  </si>
  <si>
    <t>GroepsnummerMutaties uitgaande lijnen dubbelgericht makenPer netlijn</t>
  </si>
  <si>
    <t>GroepsnummerMutaties Dubbelgerichte lijnen uitgaand makenPer netlijn</t>
  </si>
  <si>
    <t>GroepsnummerMutaties Omzetten groepsnummer in doorkiesreeksPer netlijn</t>
  </si>
  <si>
    <t>GroepsnummerMutaties Omzetten doorkiesreeks in groepsnummerPer netlijn</t>
  </si>
  <si>
    <t>GroepsnummerMutaties Van doorkiesnummer naar groepsnummerPer lijngroep</t>
  </si>
  <si>
    <t>GroepsnummerVerhuizingtoeslag op basistarief voor verhuizingPer netlijn</t>
  </si>
  <si>
    <t>Direct aankiesbare onderlijnOphefPer netlijn</t>
  </si>
  <si>
    <t>VoorkeurschakelingVVAPer lijngroep</t>
  </si>
  <si>
    <t>VoorkeurschakelingAanlegPer lijngroep</t>
  </si>
  <si>
    <t>VoorkeurschakelingOphefPer lijngroep</t>
  </si>
  <si>
    <t>VoorkeurschakelingMutatiePer lijngroep</t>
  </si>
  <si>
    <t>DoorkiesfaciliteitVVA1e t/m 100e netlijn Per netlijn</t>
  </si>
  <si>
    <t>DoorkiesfaciliteitVVA101e en volgende netlijnenPer netlijn</t>
  </si>
  <si>
    <t>DoorkiesfaciliteitAanlegvoor maximaal 100 lijnenPer netlijn</t>
  </si>
  <si>
    <t>DoorkiesfaciliteitAanlegvoor 101e en meerPer netlijn</t>
  </si>
  <si>
    <t>DoorkiesfaciliteitOphefPer netlijn</t>
  </si>
  <si>
    <t>DoorkiesfaciliteitMutaties toevoegen/wegnemen bestaande lijnen Per netlijn</t>
  </si>
  <si>
    <t>DoorkiesfaciliteitMutaties opzeggen lijn uit lijngroepPer netlijn</t>
  </si>
  <si>
    <t>DoorkiesfaciliteitMutaties aanleggen lijn in lijngroepPer netlijn</t>
  </si>
  <si>
    <t>DoorkiesfaciliteitMutaties uitgaande lijnen dubbelgericht makenPer netlijn</t>
  </si>
  <si>
    <t>DoorkiesfaciliteitMutaties dubbelgerichte lijnen uitgaand makenPer netlijn</t>
  </si>
  <si>
    <t>DoorkiesfaciliteitVerhuizingtoeslag op basistarief voor verhuizingPer netlijn</t>
  </si>
  <si>
    <t>Nummerblokken (alleen i.c.m. doorkiesfaciliteitVVA10 (in gebruik)1e blok</t>
  </si>
  <si>
    <t>Nummerblokken (alleen i.c.m. doorkiesfaciliteitVVA10 (in gebruik)2e en volgende blok</t>
  </si>
  <si>
    <t>Nummerblokken (alleen i.c.m. doorkiesfaciliteitVVA100 (in gebruik)1e blok</t>
  </si>
  <si>
    <t>Nummerblokken (alleen i.c.m. doorkiesfaciliteitVVA100 (in gebruik)2e en volgende blok</t>
  </si>
  <si>
    <t>Nummerblokken (alleen i.c.m. doorkiesfaciliteitVVA1000 (in gebruik)1e blok</t>
  </si>
  <si>
    <t>Nummerblokken (alleen i.c.m. doorkiesfaciliteitVVA1000 (in gebruik)2e en volgende blok</t>
  </si>
  <si>
    <t>Nummerblokken (alleen i.c.m. doorkiesfaciliteitVVA10000 (in gebruik)1e blok</t>
  </si>
  <si>
    <t>Nummerblokken (alleen i.c.m. doorkiesfaciliteitVVA10000 (in gebruik)2e en volgende blok</t>
  </si>
  <si>
    <t>Nummerblokken (alleen i.c.m. doorkiesfaciliteitVVA100 (gereserveerd)1e blok</t>
  </si>
  <si>
    <t>Nummerblokken (alleen i.c.m. doorkiesfaciliteitVVA100 (gereserveerd)2e en volgende blok</t>
  </si>
  <si>
    <t>Nummerblokken (alleen i.c.m. doorkiesfaciliteitVVA1000 (gereserveerd)1e blok</t>
  </si>
  <si>
    <t>Nummerblokken (alleen i.c.m. doorkiesfaciliteitVVA1000 (gereserveerd)2e en volgende blok</t>
  </si>
  <si>
    <t>Nummerblokken (alleen i.c.m. doorkiesfaciliteitVVA10000 (gereserveerd)1e blok</t>
  </si>
  <si>
    <t>Nummerblokken (alleen i.c.m. doorkiesfaciliteitVVA10000 ((gereserveerd)2e en volgende blok</t>
  </si>
  <si>
    <t>Nummerblokken (alleen i.c.m. doorkiesfaciliteitaanleg101e blok</t>
  </si>
  <si>
    <t>Nummerblokken (alleen i.c.m. doorkiesfaciliteitaanleg102e en volgende blok</t>
  </si>
  <si>
    <t>Nummerblokken (alleen i.c.m. doorkiesfaciliteitaanleg1001e blok</t>
  </si>
  <si>
    <t>Nummerblokken (alleen i.c.m. doorkiesfaciliteitaanleg1002e en volgende blok</t>
  </si>
  <si>
    <t>Nummerblokken (alleen i.c.m. doorkiesfaciliteitaanleg10001e blok</t>
  </si>
  <si>
    <t>Nummerblokken (alleen i.c.m. doorkiesfaciliteitaanleg10002e en volgende blok</t>
  </si>
  <si>
    <t>Nummerblokken (alleen i.c.m. doorkiesfaciliteitaanleg100001e blok</t>
  </si>
  <si>
    <t>Nummerblokken (alleen i.c.m. doorkiesfaciliteitaanleg100002e en volgende blok</t>
  </si>
  <si>
    <t>Nummerblokken (alleen i.c.m. doorkiesfaciliteitreserveren1001e blok</t>
  </si>
  <si>
    <t>Nummerblokken (alleen i.c.m. doorkiesfaciliteitreserveren1002e en volgende blok</t>
  </si>
  <si>
    <t>Nummerblokken (alleen i.c.m. doorkiesfaciliteitreserveren10001e blok</t>
  </si>
  <si>
    <t>Nummerblokken (alleen i.c.m. doorkiesfaciliteitreserveren10002e en volgende blok</t>
  </si>
  <si>
    <t>Nummerblokken (alleen i.c.m. doorkiesfaciliteitreserveren100001e blok</t>
  </si>
  <si>
    <t>Nummerblokken (alleen i.c.m. doorkiesfaciliteitreserveren100002e en volgende blok</t>
  </si>
  <si>
    <t>GroepsnummerOphefPer lijngroep</t>
  </si>
  <si>
    <t>GroepsnummerMutaties opzeggen lijn uit groepsnummerPer lijngroep</t>
  </si>
  <si>
    <t>GroepsnummerMutaties aanleggen lijn in groepsnummerPer lijngroep</t>
  </si>
  <si>
    <t>GroepsnummerMutaties uitgaande lijnen dubbelgericht makenPer lijngroep</t>
  </si>
  <si>
    <t>GroepsnummerMutaties Dubbelgerichte lijnen uitgaand makenPer lijngroep</t>
  </si>
  <si>
    <t>GroepsnummerMutaties Omzetten groepsnummer in doorkiesreeksPer lijngroep</t>
  </si>
  <si>
    <t>GroepsnummerMutaties Omzetten doorkiesreeks in groepsnummerPer lijngroep</t>
  </si>
  <si>
    <t>DoorkiesfaciliteitOphefPer lijngroep</t>
  </si>
  <si>
    <t>DoorkiesfaciliteitMutaties opzeggen lijn uit groepsnummerPer lijngroep</t>
  </si>
  <si>
    <t>DoorkiesfaciliteitMutaties aanleggen lijn in groepsnummerPer lijngroep</t>
  </si>
  <si>
    <t>DoorkiesfaciliteitMutaties uitgaande lijnen dubbelgericht makenPer lijngroep</t>
  </si>
  <si>
    <t>DoorkiesfaciliteitMutaties Dubbelgerichte lijnen uitgaand makenPer lijngroep</t>
  </si>
  <si>
    <t>Nummerblokken alleen i.c.m. doorkiesfaciliteitVVA10 (gereserveerd)per blok</t>
  </si>
  <si>
    <t>Nummerblokken alleen i.c.m. doorkiesfaciliteitVVA100 (gereserveerd)per blok</t>
  </si>
  <si>
    <t>Nummerblokken alleen i.c.m. doorkiesfaciliteitVVA1000 (gereserveerd)per blok</t>
  </si>
  <si>
    <t>Nummerblokken alleen i.c.m. doorkiesfaciliteitVVA10000 (gereserveerd)per blok</t>
  </si>
  <si>
    <t>Nummerblokken alleen i.c.m. doorkiesfaciliteitreserveren10 (gereserveerd)per blok</t>
  </si>
  <si>
    <t>Nummerblokken alleen i.c.m. doorkiesfaciliteitreserveren100 (gereserveerd)per blok</t>
  </si>
  <si>
    <t>Nummerblokken alleen i.c.m. doorkiesfaciliteitreserveren1000 (gereserveerd)per blok</t>
  </si>
  <si>
    <t>Nummerblokken alleen i.c.m. doorkiesfaciliteitreserveren10000 (gereserveerd)per blok</t>
  </si>
  <si>
    <t>VerwijsdienstVVAmeervoudig &gt; 6 kanalen</t>
  </si>
  <si>
    <t>VerwijsdienstVVAop doorkiesfaciliteit</t>
  </si>
  <si>
    <t>Verwijsdienstaanvraagmeervoudig &gt; 6 kanalen</t>
  </si>
  <si>
    <t>Verwijsdienstaanvraagop doorkiesfaciliteit</t>
  </si>
  <si>
    <t>Verwijsdienstophefenkelvoudig</t>
  </si>
  <si>
    <t>Verwijsdienstophefmeervoudig</t>
  </si>
  <si>
    <t>Verwijsdienstophefop doorkiesfaciliteit</t>
  </si>
  <si>
    <t>DoorschakeldienstVVAop doorkiesfaciliteit</t>
  </si>
  <si>
    <t>Doorschakeldienstaanvraagop doorkiesfaciliteit</t>
  </si>
  <si>
    <t>Doorschakeldienstophefenkelvoudig</t>
  </si>
  <si>
    <t>Doorschakeldienstophefmeervoudig</t>
  </si>
  <si>
    <t>Doorschakeldienstophefgroep/doorkies</t>
  </si>
  <si>
    <t>Kostenindicatie tijdens en bij beëindigen communicatieaanvraag</t>
  </si>
  <si>
    <t>Kostenindicatie tijdens en bij beëindigen communicatieVVA</t>
  </si>
  <si>
    <t>CalamiteitenServiceaanvraagInschakeltarief &lt;= 30 Kanalen</t>
  </si>
  <si>
    <t>CalamiteitenServiceaanvraagInschakeltarief &gt; 30 Kanalen</t>
  </si>
  <si>
    <t>CalamiteitenServiceaanvraag&gt; 30 Kanalen</t>
  </si>
  <si>
    <t>CalamiteitenServiceVVA&gt; 30 Kanalen</t>
  </si>
  <si>
    <t>CalamiteitenServiceaanvraagInschakeltarief adhoc &lt;= 30 Kanalen</t>
  </si>
  <si>
    <t>CalamiteitenServiceaanvraagInschakeltarief adhoc &gt; 30 Kanalen</t>
  </si>
  <si>
    <t>CalamiteitenServiceaanvraagContractswijziging &lt;= 30 kanalen</t>
  </si>
  <si>
    <t>CalamiteitenServiceaanvraagContractswijziging &gt; 30 kanalen</t>
  </si>
  <si>
    <t>CalamiteitenvoorzieningVVA&lt;= 30 Kanalenper aansluiting</t>
  </si>
  <si>
    <t>CalamiteitenvoorzieningVVA&lt;= 120 Kanalenper aansluiting</t>
  </si>
  <si>
    <t>CalamiteitenvoorzieningVVA&gt; 120 Kanalenper aansluiting</t>
  </si>
  <si>
    <t>Calamiteitenvoorzieningaanvraagactivatieper aansluiting</t>
  </si>
  <si>
    <t>CalamiteitenvoorzieningVVAverkeerskosten op basis van afkoop binnen de regioper lijn per dag</t>
  </si>
  <si>
    <t>CalamiteitenvoorzieningVVAverkeerskosten op basis van afkoop buiten de regioper lijn per dag</t>
  </si>
  <si>
    <t>Aanlegaanvraag</t>
  </si>
  <si>
    <t>Mutatiemutatie</t>
  </si>
  <si>
    <t>AbonnementsvergoedingVVA</t>
  </si>
  <si>
    <t>Abonnementsvergoeding nummerblok van 1000VVA</t>
  </si>
  <si>
    <t>Wordt tariefcombinatie getoetst?</t>
  </si>
  <si>
    <t>ja</t>
  </si>
  <si>
    <t>ISDN30 eerste aansluiting</t>
  </si>
  <si>
    <t>ISDN30 volgende aansluiting</t>
  </si>
  <si>
    <t>088-verkeer</t>
  </si>
  <si>
    <t>Zakelijk BelBasis088-verkeer</t>
  </si>
  <si>
    <t>TZ Max088-verkeer</t>
  </si>
  <si>
    <t>WLR ISDN 1 enkelvoudig Rental Charge</t>
  </si>
  <si>
    <t>ZBTISDN30 eerste aansluiting</t>
  </si>
  <si>
    <t>Complete sleutel tbv DGO</t>
  </si>
  <si>
    <t>Aansluitingen(VVA+VVE)</t>
  </si>
  <si>
    <t>Totaal squeeze</t>
  </si>
  <si>
    <t>Aantal MDF lijnen per ISDN15/20/30</t>
  </si>
  <si>
    <t>Aantal MDF lijnen per ISDN15/20/30 Dual Homing</t>
  </si>
  <si>
    <t xml:space="preserve">Aantal lijnkaarten Dual Homing </t>
  </si>
  <si>
    <t>WLR parameters tbv inkoop van aansluitingen obv MDF</t>
  </si>
  <si>
    <t>1. MDF access tarieven (per 1-1-2016)</t>
  </si>
  <si>
    <t>VVE connect</t>
  </si>
  <si>
    <t>shared</t>
  </si>
  <si>
    <t>new line</t>
  </si>
  <si>
    <t>telco-telco</t>
  </si>
  <si>
    <t>NLS type 1 ZTL</t>
  </si>
  <si>
    <t>NLS type 1</t>
  </si>
  <si>
    <t>NLS type 1 DHZ</t>
  </si>
  <si>
    <t>NLS type 2</t>
  </si>
  <si>
    <t>NLS type 3</t>
  </si>
  <si>
    <t>NLS type 2/3</t>
  </si>
  <si>
    <t>NLS type 2/3 DHZ</t>
  </si>
  <si>
    <t>VVE disconnect</t>
  </si>
  <si>
    <t>Eenmalig</t>
  </si>
  <si>
    <t>Access Line disconnection</t>
  </si>
  <si>
    <t>Per mnd</t>
  </si>
  <si>
    <t>MDF Access xTL</t>
  </si>
  <si>
    <t>MDF Access aSL</t>
  </si>
  <si>
    <t>MDF Access Pair bonding</t>
  </si>
  <si>
    <t>MDF</t>
  </si>
  <si>
    <t>Aantal MDF lijnen per PSTN/ISDN1/ISDN2</t>
  </si>
  <si>
    <t>Obv WLR</t>
  </si>
  <si>
    <t>obv ULL</t>
  </si>
  <si>
    <t>ULL Type</t>
  </si>
  <si>
    <t>Totaal (omgeslagen per aansluiting)</t>
  </si>
  <si>
    <t>Totaal</t>
  </si>
  <si>
    <t>3. Information product tariffs Tariffs</t>
  </si>
  <si>
    <t>Carrier Information Product (CIP)</t>
  </si>
  <si>
    <t>3. Optional Service Tariffs</t>
  </si>
  <si>
    <t>Premium service ('Additional serviceniveau' from SLA S&amp;I)</t>
  </si>
  <si>
    <t>Special SLA</t>
  </si>
  <si>
    <t>Aansluitbijdrage + patching</t>
  </si>
  <si>
    <t xml:space="preserve">Telco-Telco migratie </t>
  </si>
  <si>
    <t>Depatching</t>
  </si>
  <si>
    <t>Landelijk uniform tarief</t>
  </si>
  <si>
    <t xml:space="preserve">FttH Reggefiber korting ODF </t>
  </si>
  <si>
    <t>Korting</t>
  </si>
  <si>
    <t>Premium SLA per IGP</t>
  </si>
  <si>
    <t>Installatie op FTU niet gelijktijdig met HAS</t>
  </si>
  <si>
    <t>Additionele tarieven</t>
  </si>
  <si>
    <t>Eenmalige aansluitbijdrage per Area PoP</t>
  </si>
  <si>
    <t>ODF information product</t>
  </si>
  <si>
    <t>City-ring per Area PoP</t>
  </si>
  <si>
    <t>Dienst Collocatie per Area PoP</t>
  </si>
  <si>
    <t>Stroom per aansluiting</t>
  </si>
  <si>
    <t>ODF informatie product</t>
  </si>
  <si>
    <t>End of Sheet</t>
  </si>
  <si>
    <t>NLS parameters</t>
  </si>
  <si>
    <t>Inkoopprofiel WLR/ILL</t>
  </si>
  <si>
    <t>NLS1 met T&amp;L</t>
  </si>
  <si>
    <t>NLS2</t>
  </si>
  <si>
    <t>NLS3</t>
  </si>
  <si>
    <t>frequentie</t>
  </si>
  <si>
    <t>obv netto omzet</t>
  </si>
  <si>
    <t>Retailopslag medium</t>
  </si>
  <si>
    <t>Retailopslag medium_BPO</t>
  </si>
  <si>
    <t>VT</t>
  </si>
  <si>
    <t>Portfolio</t>
  </si>
  <si>
    <t>Vast</t>
  </si>
  <si>
    <t>Voice &amp; Internet Services</t>
  </si>
  <si>
    <t xml:space="preserve">KPN </t>
  </si>
  <si>
    <t>EDC minus maandbedragen resp LRIC maandbedragen incl en excl TH, E, SEV (interpolatie 2017 uit 2015 en 2018)</t>
  </si>
  <si>
    <t>kosten vvv</t>
  </si>
  <si>
    <t>kosten vve</t>
  </si>
  <si>
    <t>kosten vva t/m MC ex vva TH, E en SEV</t>
  </si>
  <si>
    <t>kosten vva TH t/m MC</t>
  </si>
  <si>
    <t>kosten vva E t/m MC</t>
  </si>
  <si>
    <t>kosten vva SEV t/m MC</t>
  </si>
  <si>
    <t>TH t/m MC in m2</t>
  </si>
  <si>
    <t>kWh E t/m MC</t>
  </si>
  <si>
    <t>kosten vva MC tot core incl TH, E, SEV</t>
  </si>
  <si>
    <t>kosten vva core +wap incl TH, E, SEV</t>
  </si>
  <si>
    <t>WBA FTTH</t>
  </si>
  <si>
    <t>WBA FTTC</t>
  </si>
  <si>
    <t>WBA SDSL</t>
  </si>
  <si>
    <t>WBA ETN p2p  met geschat verbruik</t>
  </si>
  <si>
    <t>WBA ETN p2p  met geschat verbruik pb</t>
  </si>
  <si>
    <t>EOK gemiddeld</t>
  </si>
  <si>
    <t>EOK tot 2,3 Mb met één koperpaar</t>
  </si>
  <si>
    <t>EOK tot 3 Mb</t>
  </si>
  <si>
    <t>EOK tot 5 Mb</t>
  </si>
  <si>
    <t>EOK tot 10 Mb</t>
  </si>
  <si>
    <t>EOK tot 15 Mb</t>
  </si>
  <si>
    <t>EOK tot 20 Mb</t>
  </si>
  <si>
    <t>verkeer access netwerk  host</t>
  </si>
  <si>
    <t>isdn 1/2 lijnkaart</t>
  </si>
  <si>
    <t>isdn 15/20/30 lijnkaart</t>
  </si>
  <si>
    <t>pstn lijnkaart</t>
  </si>
  <si>
    <t>hdsl modem isdn 15/20/30</t>
  </si>
  <si>
    <t>vaste transmissie mobiel data</t>
  </si>
  <si>
    <t>vaste transmissie mobiel sms</t>
  </si>
  <si>
    <t>vaste transmissie mobiel spraak</t>
  </si>
  <si>
    <t>radionet mobiel data</t>
  </si>
  <si>
    <t>radionet mobiel sms</t>
  </si>
  <si>
    <t>radionet mobiel spraak</t>
  </si>
  <si>
    <t>broadcast platform kpn retail</t>
  </si>
  <si>
    <t>broadcast platform kpn whs</t>
  </si>
  <si>
    <t>broadcast transport</t>
  </si>
  <si>
    <t>unicast platform</t>
  </si>
  <si>
    <t>w.v.unicast npvr</t>
  </si>
  <si>
    <t>w.v. unicast vod</t>
  </si>
  <si>
    <t>ILL 2048 kbit/s lokaal collo</t>
  </si>
  <si>
    <t>ILL 2048 kbit/s lokaal telco (incl LEP/CP)</t>
  </si>
  <si>
    <t>ILL 2048 kbit/s regionaal collo</t>
  </si>
  <si>
    <t>ILL 2048 kbit/s regionaal telco (incl LEP/CP)</t>
  </si>
  <si>
    <t>ILL 2 Mbit/s (VC12) AP-CP</t>
  </si>
  <si>
    <t>ILLP 34 Mbit/s (VC3) AP-CP</t>
  </si>
  <si>
    <t>ILL 155 Mbit/s (VC4) AP-CP</t>
  </si>
  <si>
    <t>ILL 622 Mbit/s (4*STM1) UTN-A PAN(SDH)</t>
  </si>
  <si>
    <t>ILL tie cable</t>
  </si>
  <si>
    <t>ILL 2 Mbit/s CP CP</t>
  </si>
  <si>
    <t>ILL 34 Mbit/s (VC3) CP-CP</t>
  </si>
  <si>
    <t>ILL 155 Mbit/s CP_CP</t>
  </si>
  <si>
    <t>CPA 34 mbits</t>
  </si>
  <si>
    <t>CPA 155 mbits</t>
  </si>
  <si>
    <t>CPA 622 mbits</t>
  </si>
  <si>
    <t>CPA 2500 mbits</t>
  </si>
  <si>
    <t>CPA afstapelpunt</t>
  </si>
  <si>
    <t>dark fiber e2e excl odf per stuk</t>
  </si>
  <si>
    <t>dark fiber per km vezelpaar boven MB</t>
  </si>
  <si>
    <t>WDM segment t/m 2,5G passief metro</t>
  </si>
  <si>
    <t>WDM segment t/m 2,5G metro regionaal</t>
  </si>
  <si>
    <t>WDM segment t/m 2,5G regionaal nationaal</t>
  </si>
  <si>
    <t>WDM segment 10G passief metro</t>
  </si>
  <si>
    <t>WDM segment 10G metro regionaal</t>
  </si>
  <si>
    <t>WDM segment 10G regionaal nationaal</t>
  </si>
  <si>
    <t>generiek IP platform per 10GB</t>
  </si>
  <si>
    <t>Anti DDOS platformkosten premium</t>
  </si>
  <si>
    <t>Anti DDOS platformkosten basic</t>
  </si>
  <si>
    <t>Helpdesk premium</t>
  </si>
  <si>
    <t>Helpdesk basic</t>
  </si>
  <si>
    <t>Datacenter_Connect_10Mbps_single</t>
  </si>
  <si>
    <t>Datacenter_Connect_100Mbps_single</t>
  </si>
  <si>
    <t>Datacenter_Connect_400Mbps_single</t>
  </si>
  <si>
    <t>Datacenter_Connect_1Gbps_single</t>
  </si>
  <si>
    <t>Datacenter_Connect_10Mbps_redundant</t>
  </si>
  <si>
    <t>Datacenter_Connect_100Mbps_redundant</t>
  </si>
  <si>
    <t>Datacenter_Connect_400Mbps_redundant</t>
  </si>
  <si>
    <t>Datacenter_Connect_1Gbps_redundant</t>
  </si>
  <si>
    <t>1.</t>
  </si>
  <si>
    <t>Generieke parameters</t>
  </si>
  <si>
    <t xml:space="preserve"> Contractsduur per Service</t>
  </si>
  <si>
    <t>Contractsduur (mnd)</t>
  </si>
  <si>
    <t xml:space="preserve">2. </t>
  </si>
  <si>
    <t>Verkeersparameters</t>
  </si>
  <si>
    <t>WAP verkeer per aansluiting</t>
  </si>
  <si>
    <t>kbps</t>
  </si>
  <si>
    <t xml:space="preserve">3. </t>
  </si>
  <si>
    <t>Mix van NLS1/2/3</t>
  </si>
  <si>
    <t>NLS1</t>
  </si>
  <si>
    <t>NLS3 &lt;25m</t>
  </si>
  <si>
    <t>NLS3 25-125m</t>
  </si>
  <si>
    <t>Mix van NLS varianten op basis van CARE</t>
  </si>
  <si>
    <t>NLS3 25-125m tarief</t>
  </si>
  <si>
    <t>+ NLS1 tarief</t>
  </si>
  <si>
    <t>MDF NLS1/2/3 mix tarief</t>
  </si>
  <si>
    <t>MDF PB NLS1/2/3 mix tarief</t>
  </si>
  <si>
    <t>4.</t>
  </si>
  <si>
    <t>ODF FTTH parameters</t>
  </si>
  <si>
    <t>Totaal Homes Activated</t>
  </si>
  <si>
    <t>Homes activated KPN/RFW</t>
  </si>
  <si>
    <t>Gemiddeld aantal actieve operators</t>
  </si>
  <si>
    <t>Afschrijvingstermijn Eenmalige aansluitbijdrage Area PoP</t>
  </si>
  <si>
    <t>jaar</t>
  </si>
  <si>
    <t>Afschrijvingstermijn VVE (de)patching</t>
  </si>
  <si>
    <t>Aantal homes passed per Area PoP</t>
  </si>
  <si>
    <t>5.</t>
  </si>
  <si>
    <t>WEAS-over-koper parameters</t>
  </si>
  <si>
    <t>Aantal koperparen</t>
  </si>
  <si>
    <t>6.</t>
  </si>
  <si>
    <t>VULA parameters</t>
  </si>
  <si>
    <t>Aantal retail aansluitingen op VULA</t>
  </si>
  <si>
    <t>End of sheet</t>
  </si>
  <si>
    <t>Tarieven + parameters collocatie</t>
  </si>
  <si>
    <t>MDF collocatie</t>
  </si>
  <si>
    <t>Footprint (2 m2)</t>
  </si>
  <si>
    <t>per jaar</t>
  </si>
  <si>
    <t>Koppelkabel, 600 DA</t>
  </si>
  <si>
    <t>SIP kast (1000 DA)</t>
  </si>
  <si>
    <t>48V voedingskast</t>
  </si>
  <si>
    <t>48V no break voorziening</t>
  </si>
  <si>
    <t>Interne doorbekabeling 4 glasvezelparen</t>
  </si>
  <si>
    <t>prijs per kWh</t>
  </si>
  <si>
    <t>48V no break voorziening, voorschottarief</t>
  </si>
  <si>
    <t>per lijn per jaar</t>
  </si>
  <si>
    <t>SEV (tarief per lijn)</t>
  </si>
  <si>
    <t>WBA/WLL collocatie</t>
  </si>
  <si>
    <t>WBA/WLL koppelkabel met 4 vezelparen</t>
  </si>
  <si>
    <t>Stroommeter</t>
  </si>
  <si>
    <t>per maand</t>
  </si>
  <si>
    <t>SEV bij WLL  collocatie</t>
  </si>
  <si>
    <t>WBA/WLL collocatie, verbruik per MC</t>
  </si>
  <si>
    <t>Energie</t>
  </si>
  <si>
    <t>Economische afschrijvingstermijn b+d koppelkabel, footprint en SIP kast</t>
  </si>
  <si>
    <t>Economische afschrijvingstermijn 48V stroomvoorziening en glasvezeldoorbekabeling</t>
  </si>
  <si>
    <t>Bezettingsgraad koppelkabel</t>
  </si>
  <si>
    <t>Bezettingsgraad SIP kast</t>
  </si>
  <si>
    <t>Aantal MDF locaties</t>
  </si>
  <si>
    <t>Aantal MC locaties</t>
  </si>
  <si>
    <t>Aantal VULA lijnen</t>
  </si>
  <si>
    <t>Aantal MDF lijnen</t>
  </si>
  <si>
    <t>(prognose 2017)</t>
  </si>
  <si>
    <t>2.</t>
  </si>
  <si>
    <t>Output gegevens</t>
  </si>
  <si>
    <t>MDF collo, SDSL</t>
  </si>
  <si>
    <t>Eenheden per lijn</t>
  </si>
  <si>
    <t>VVA per jaar</t>
  </si>
  <si>
    <t>EUR per kWh</t>
  </si>
  <si>
    <t>Afschr. Termijn</t>
  </si>
  <si>
    <t>Kosten per lijn</t>
  </si>
  <si>
    <t>SEV</t>
  </si>
  <si>
    <t>Koppelkabel (600 DA)</t>
  </si>
  <si>
    <t>MDF collo, Pair bonding</t>
  </si>
  <si>
    <t>Koppelkabel</t>
  </si>
  <si>
    <t>VULA collo</t>
  </si>
  <si>
    <t>48V no break voorziening /kWh</t>
  </si>
  <si>
    <t>SEV /kWh</t>
  </si>
  <si>
    <t>Per EoK aansluiting</t>
  </si>
  <si>
    <t>Per MDF lijn</t>
  </si>
  <si>
    <t>MDF collo, ILL smalband</t>
  </si>
  <si>
    <t>MDF collo, PSTN</t>
  </si>
  <si>
    <t>MDF collo, ISDN1,2</t>
  </si>
  <si>
    <t>MDF collo, ISDN15,20,30</t>
  </si>
  <si>
    <t>4. Reggefiber ODF FTTH tarieven (per 1-1-2016, v.2.2.11)</t>
  </si>
  <si>
    <t># varianten:</t>
  </si>
  <si>
    <t>VVE Tarief</t>
  </si>
  <si>
    <t>VVA Tarief</t>
  </si>
  <si>
    <t>Kosten</t>
  </si>
  <si>
    <t>Tarieven</t>
  </si>
  <si>
    <t>Dienstfamilie</t>
  </si>
  <si>
    <t>Connect type</t>
  </si>
  <si>
    <t>Access type</t>
  </si>
  <si>
    <t>SLA</t>
  </si>
  <si>
    <t>Connect</t>
  </si>
  <si>
    <t>Disconnect</t>
  </si>
  <si>
    <t>Sum VVE</t>
  </si>
  <si>
    <t>xIP</t>
  </si>
  <si>
    <t>Collo</t>
  </si>
  <si>
    <t>EDC minus kosten 
lijnkaart</t>
  </si>
  <si>
    <t>Sum VVA</t>
  </si>
  <si>
    <t>sleutel</t>
  </si>
  <si>
    <t>NLS type 1/2/3</t>
  </si>
  <si>
    <t>Standard</t>
  </si>
  <si>
    <t>7x24 repairtime 8h</t>
  </si>
  <si>
    <t>ISDN1,2</t>
  </si>
  <si>
    <t>ISDN15,20,30</t>
  </si>
  <si>
    <t>type aansluiting</t>
  </si>
  <si>
    <t>PSTNNLS type 1/2/3non-sharedStandard</t>
  </si>
  <si>
    <t>ISDN1,2NLS type 1/2/3non-sharedStandard</t>
  </si>
  <si>
    <t>ISDN15,20,30NLS type 1/2/3non-sharedStandard</t>
  </si>
  <si>
    <t>VVE kosten zijn in VVA kolom verwerkt</t>
  </si>
  <si>
    <t>KPN BelBasis CM</t>
  </si>
  <si>
    <t>opgaand EDC - neergaand xTA</t>
  </si>
  <si>
    <t>NRK</t>
  </si>
  <si>
    <t>Aantal WETS per MC locatie</t>
  </si>
  <si>
    <t>MDF collo, VDSL</t>
  </si>
  <si>
    <t>EoK</t>
  </si>
  <si>
    <t>WBA VULA (mix van wba co en wba fttc)</t>
  </si>
  <si>
    <t>tdm poort 2mbits</t>
  </si>
  <si>
    <t>tdm poort 155mbits</t>
  </si>
  <si>
    <t>verkeer evkc to evkc</t>
  </si>
  <si>
    <t>verkeer evkc to host</t>
  </si>
  <si>
    <t>verkeer voice carrier systeem</t>
  </si>
  <si>
    <t>verkeer premium transit</t>
  </si>
  <si>
    <t>WETS TH, E in MC (is gehalveerd, moet nog * 3,8 volgens berekening Carel)</t>
  </si>
  <si>
    <t>WEAS BT dood glas</t>
  </si>
  <si>
    <t>WEAS BT bestaand nieuwe klant</t>
  </si>
  <si>
    <t>WEAS BT nieuw</t>
  </si>
  <si>
    <t>WEAS BT upgrade snelheid</t>
  </si>
  <si>
    <t>WEAS ST dood glas</t>
  </si>
  <si>
    <t>WEAS ST nearnet</t>
  </si>
  <si>
    <t>WEAS ST offnet</t>
  </si>
  <si>
    <t>kosten vva t/m MDF</t>
  </si>
  <si>
    <t>kosten vva TH t/m MDF</t>
  </si>
  <si>
    <t>kosten vva E t/m MDF</t>
  </si>
  <si>
    <t>kosten vva SEV t/m MDF</t>
  </si>
  <si>
    <t>TH t/m MDF in m2</t>
  </si>
  <si>
    <t>kWh E t/m MDF</t>
  </si>
  <si>
    <t>kosten vva evkc/RAC</t>
  </si>
  <si>
    <t>poort enkel</t>
  </si>
  <si>
    <t>MB</t>
  </si>
  <si>
    <t>bericht</t>
  </si>
  <si>
    <t>kosten vva  MDF t/m cp</t>
  </si>
  <si>
    <t>kosten vva cp-cp</t>
  </si>
  <si>
    <t>kilometer vzp</t>
  </si>
  <si>
    <t>aansluiting/hop</t>
  </si>
  <si>
    <t>poort</t>
  </si>
  <si>
    <t>kosten vva</t>
  </si>
  <si>
    <t>klant</t>
  </si>
  <si>
    <t>TH in MC  in m2</t>
  </si>
  <si>
    <t>kWh E in MC</t>
  </si>
  <si>
    <t>eindpunt</t>
  </si>
  <si>
    <t>TAN</t>
  </si>
  <si>
    <t>SAN</t>
  </si>
  <si>
    <t>PAN</t>
  </si>
  <si>
    <t>tbv Slim BereikBaar toets</t>
  </si>
  <si>
    <t>VVE type</t>
  </si>
  <si>
    <t>PSTNtelco-telconon-sharedStandard</t>
  </si>
  <si>
    <t>ISDN1,2telco-telconon-sharedStandard</t>
  </si>
  <si>
    <t>ISDN15,20,30telco-telconon-sharedStandard</t>
  </si>
  <si>
    <t>sleutel inkoop</t>
  </si>
  <si>
    <t>sleutel rekentabblad</t>
  </si>
  <si>
    <t>obv EDC- en bevat alleen de kosten van de lijnkaart. De kosten van CPA zelf zitten in LPM CPA Digistream model.</t>
  </si>
  <si>
    <t>product</t>
  </si>
  <si>
    <t>grondslag kosten</t>
  </si>
  <si>
    <t>WEAS BT/FTTO incl collo en BH</t>
  </si>
  <si>
    <t>WEAS BT/FTTO excl collo en BH</t>
  </si>
  <si>
    <t>WEAS CITY incl collo en BH</t>
  </si>
  <si>
    <t>WEAS CITY excl collo en BH</t>
  </si>
  <si>
    <t>Voip per minuut</t>
  </si>
  <si>
    <t>Voip transit per minuut</t>
  </si>
  <si>
    <t>mobiel vast bedrag per maand (LRIC residu)</t>
  </si>
  <si>
    <t>ODF per km vezelpaar (off net en protectie)</t>
  </si>
  <si>
    <t>generiek IP platform wba internet</t>
  </si>
  <si>
    <t>generiek IP platform wba itv</t>
  </si>
  <si>
    <t>straalverbinding WEAS</t>
  </si>
  <si>
    <t>straalverbinding EVENTS met mast</t>
  </si>
  <si>
    <t>straalverbindding EVENTS zonder mast</t>
  </si>
  <si>
    <t>Newtel platformkosten incl transmissie</t>
  </si>
  <si>
    <t>Newtel IVR Telios</t>
  </si>
  <si>
    <t>Newtel IVR Telios spraakherkenning</t>
  </si>
  <si>
    <t xml:space="preserve">Storm </t>
  </si>
  <si>
    <t>seat?</t>
  </si>
  <si>
    <t>Berekening verkeerskosten detail, uitgesplitst naar terminating KPN TDM (intern), VOIP, OLO</t>
  </si>
  <si>
    <t>VoIP</t>
  </si>
  <si>
    <t>OLO</t>
  </si>
  <si>
    <t>type</t>
  </si>
  <si>
    <t>naarKPN</t>
  </si>
  <si>
    <t>naarOLO</t>
  </si>
  <si>
    <t>Percentages</t>
  </si>
  <si>
    <t>TDM</t>
  </si>
  <si>
    <t>VOIP</t>
  </si>
  <si>
    <t>Verdeling naar operator categorie</t>
  </si>
  <si>
    <t>Originating</t>
  </si>
  <si>
    <t>Kosten obv FTA/MTA</t>
  </si>
  <si>
    <t>Kosten obv EDC-</t>
  </si>
  <si>
    <t>Groepsnummer PSTN</t>
  </si>
  <si>
    <t>Groepsnummer ISDN2</t>
  </si>
  <si>
    <t>TZGroepsnummer PSTN</t>
  </si>
  <si>
    <t>TZGroepsnummer ISDN2</t>
  </si>
  <si>
    <t>tbv DGO toets</t>
  </si>
  <si>
    <t>tbv DGO toets (zonder VVE omzet)</t>
  </si>
  <si>
    <t>Maand-bedrag in toetsperiode</t>
  </si>
  <si>
    <t>Aantal maanden afkoop</t>
  </si>
  <si>
    <t>alleen VVA bedrag</t>
  </si>
  <si>
    <t>Sleutel voor ZBT DGO afkoop</t>
  </si>
  <si>
    <t>ZBTPSTN</t>
  </si>
  <si>
    <t>ZBTISDN30 volgende aansluiting</t>
  </si>
  <si>
    <t>TZ ZBTPSTN</t>
  </si>
  <si>
    <t>TZ ZBTISDN1</t>
  </si>
  <si>
    <t>TZ ZBTISDN2</t>
  </si>
  <si>
    <t>TZ ZBTISDN15</t>
  </si>
  <si>
    <t>TZ ZBTISDN20</t>
  </si>
  <si>
    <t>TZ ZBTISDN30 eerste aansluiting</t>
  </si>
  <si>
    <t>TZ ZBTISDN30 volgende aansluiting</t>
  </si>
  <si>
    <t>TZ ZBTCityPhone</t>
  </si>
  <si>
    <t>Technische Huisvesting t/m MC in m2</t>
  </si>
  <si>
    <t>kWh Energie t/m MC</t>
  </si>
  <si>
    <t>WBA central office</t>
  </si>
  <si>
    <t>WBA pairbonded</t>
  </si>
  <si>
    <t>Technische Huisvesting t/m MDF in m2</t>
  </si>
  <si>
    <t>kWh Energie t/m MDF</t>
  </si>
  <si>
    <t>WEAS FTTH  BT excl collo en BH</t>
  </si>
  <si>
    <t>WEAS FTTH CITY excl collo en BH</t>
  </si>
  <si>
    <t>backhaul FTTH BT tot MC</t>
  </si>
  <si>
    <t>backhaul FTTH ST tot MC</t>
  </si>
  <si>
    <t>VOORBLAD</t>
  </si>
  <si>
    <t>Beschrijving</t>
  </si>
  <si>
    <t>Deze openbare ND5 toets bevat de toesten van traditonele telefonie waarbij de separate toetsen van aansluiting, verkeer en faciliteiten plaats vindt.</t>
  </si>
  <si>
    <t>Voor de Zakelijk BelVrij Totaal wordt de toets obv combinaties van aansluiting en verkeer in tabblad totaal samengesteld.</t>
  </si>
  <si>
    <t>Navigatie</t>
  </si>
  <si>
    <t>Cel kleuren</t>
  </si>
  <si>
    <t>Fictieve getallen</t>
  </si>
  <si>
    <t>ZBTIDD contractsduurkorting</t>
  </si>
  <si>
    <t>ZBTPSTN100</t>
  </si>
  <si>
    <t>ZBTISDN1100</t>
  </si>
  <si>
    <t>ZBTISDN2100</t>
  </si>
  <si>
    <t>ZBTISDN15100</t>
  </si>
  <si>
    <t>ZBTISDN20100</t>
  </si>
  <si>
    <t>ZBTISDN30100</t>
  </si>
  <si>
    <t>ZBTCityphone100</t>
  </si>
  <si>
    <t>TZ ZBTPSTN100</t>
  </si>
  <si>
    <t>TZ ZBTISDN15100</t>
  </si>
  <si>
    <t>TZ ZBTISDN1100</t>
  </si>
  <si>
    <t>TZ ZBTISDN2100</t>
  </si>
  <si>
    <t>TZ ZBTISDN20100</t>
  </si>
  <si>
    <t>TZ ZBTISDN30100</t>
  </si>
  <si>
    <t>TZ ZBTCityphone100</t>
  </si>
  <si>
    <t>IDD contractsduurkorting</t>
  </si>
  <si>
    <t>Verkeer, internet 265 kbps en unicast 71 kbps</t>
  </si>
  <si>
    <t>Sum VVA tarief</t>
  </si>
  <si>
    <t>Sum VVE tarief</t>
  </si>
  <si>
    <t>Inkoop VVA</t>
  </si>
  <si>
    <t>Inkoop VVE</t>
  </si>
  <si>
    <t>KPN BelVrij Weekend CM</t>
  </si>
  <si>
    <t>KPN BelVrij Avond&amp;Weekend CM</t>
  </si>
  <si>
    <t>KPN BelVrij Altijd CM</t>
  </si>
  <si>
    <t>KPN BelBasis CMPSTN</t>
  </si>
  <si>
    <t>KPN BelVrij Weekend CMPSTN</t>
  </si>
  <si>
    <t>KPN BelVrij Avond&amp;Weekend CMPSTN</t>
  </si>
  <si>
    <t>KPN BelVrij Altijd CMPSTN</t>
  </si>
  <si>
    <t>TZ Groepsnummer PSTN</t>
  </si>
  <si>
    <t>TZ Groepsnummer ISDN2</t>
  </si>
  <si>
    <t>WLR tarievenlijst geldig per 1 jan 2017</t>
  </si>
  <si>
    <t>Per 1 januari 2017</t>
  </si>
  <si>
    <t>WLR DHZ Nazorg of Service</t>
  </si>
  <si>
    <t xml:space="preserve"> per opdracht</t>
  </si>
  <si>
    <t>A: De eenmalige vergoeding voor een succesvol uitgevoerde WLR DHZ Nazorg of Service opdracht. Een  WLR DHZ Nazorg of Service opdracht wordt als succesvol aangemerkt als de ticket waarin de aangemelde verstoring door KPN als ‘succesvol’ is afgesloten.</t>
  </si>
  <si>
    <t>idd minuuttarief van zone 1 gebruikt (worst case)</t>
  </si>
  <si>
    <t>BelVrij weekend en avond&amp;weekend wordt als altijd qua verkeer getoetst (worst case) omdat er geen onderscheid piek/dal/weekend in het model zit</t>
  </si>
  <si>
    <t>voor idd zone 1 en 2 maakt de verkeersomzet onderdeel van  abo bedrag</t>
  </si>
  <si>
    <t>Verkeerstarieven geldig per 1 jan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</si>
</sst>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160">
    <numFmt numFmtId="44" formatCode="_ &quot;€&quot;\ * #,##0.00_ ;_ &quot;€&quot;\ * \-#,##0.00_ ;_ &quot;€&quot;\ * &quot;-&quot;??_ ;_ @_ "/>
    <numFmt numFmtId="43" formatCode="_ * #,##0.00_ ;_ * \-#,##0.00_ ;_ * &quot;-&quot;??_ ;_ @_ "/>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0.0%"/>
    <numFmt numFmtId="169" formatCode="0.0000"/>
    <numFmt numFmtId="170" formatCode="_-&quot;€&quot;\ * #,##0.00_-;_-&quot;€&quot;\ * #,##0.00\-;_-&quot;€&quot;\ * &quot;-&quot;??_-;_-@_-"/>
    <numFmt numFmtId="171" formatCode="_-* #,##0.00_-;_-* #,##0.00\-;_-* &quot;-&quot;??_-;_-@_-"/>
    <numFmt numFmtId="172" formatCode="_ &quot;€&quot;\ * #,##0.000000_ ;_ &quot;€&quot;\ * \-#,##0.000000_ ;_ &quot;€&quot;\ * &quot;-&quot;??_ ;_ @_ "/>
    <numFmt numFmtId="173" formatCode="_-&quot;€&quot;\ * #,##0.0000_-;_-&quot;€&quot;\ * #,##0.0000\-;_-&quot;€&quot;\ * &quot;-&quot;??_-;_-@_-"/>
    <numFmt numFmtId="174" formatCode="_ &quot;€&quot;\ * #,##0.0000_ ;_ &quot;€&quot;\ * \-#,##0.0000_ ;_ &quot;€&quot;\ * &quot;-&quot;????_ ;_ @_ "/>
    <numFmt numFmtId="175" formatCode="#,###.#"/>
    <numFmt numFmtId="176" formatCode="0.0"/>
    <numFmt numFmtId="177" formatCode="#,##0_%_);\(#,##0\)_%;#,##0_%_);@_%_)"/>
    <numFmt numFmtId="178" formatCode="#,##0_%_);\(#,##0\)_%;**;@_%_)"/>
    <numFmt numFmtId="179" formatCode="#,##0.00_%_);\(#,##0.00\)_%;#,##0.00_%_);@_%_)"/>
    <numFmt numFmtId="180" formatCode="&quot;$&quot;#,##0_%_);\(&quot;$&quot;#,##0\)_%;&quot;$&quot;#,##0_%_);@_%_)"/>
    <numFmt numFmtId="181" formatCode="&quot;$&quot;#,##0.00_%_);\(&quot;$&quot;#,##0.00\)_%;&quot;$&quot;#,##0.00_%_);@_%_)"/>
    <numFmt numFmtId="182" formatCode="#,##0_ ;[Red]\(#,##0\)"/>
    <numFmt numFmtId="183" formatCode="m/d/yy_%_)"/>
    <numFmt numFmtId="184" formatCode="mmm\ dd\,\ yyyy"/>
    <numFmt numFmtId="185" formatCode="0_%_);\(0\)_%;0_%_);@_%_)"/>
    <numFmt numFmtId="186" formatCode="#,##0_ ;[Red]\-#,##0\ "/>
    <numFmt numFmtId="187" formatCode="0.0\%_);\(0.0\%\);0.0\%_);@_%_)"/>
    <numFmt numFmtId="188" formatCode="#,##0.0_);\(#,##0.0\)"/>
    <numFmt numFmtId="189" formatCode="#,##0_);[Red]\-#,##0_);0_);@_)"/>
    <numFmt numFmtId="190" formatCode="#,##0;\(#,##0\)"/>
    <numFmt numFmtId="191" formatCode="&quot;Cr$&quot;#,##0_);\(&quot;Cr$&quot;#,##0\)"/>
    <numFmt numFmtId="192" formatCode="&quot;Cr$&quot;#,##0.00_);\(&quot;Cr$&quot;#,##0.00\)"/>
    <numFmt numFmtId="193" formatCode="_(&quot;R$&quot;\ * #,##0.00_);_(&quot;R$&quot;\ * \(#,##0.00\);_(&quot;R$&quot;\ * &quot;-&quot;??_);_(@_)"/>
    <numFmt numFmtId="194" formatCode="&quot;Cr$&quot;#,##0_);[Red]\(&quot;Cr$&quot;#,##0\)"/>
    <numFmt numFmtId="195" formatCode="#,##0.000"/>
    <numFmt numFmtId="196" formatCode="_-* #,##0.00\ &quot;F&quot;_-;\-* #,##0.00\ &quot;F&quot;_-;_-* &quot;-&quot;??\ &quot;F&quot;_-;_-@_-"/>
    <numFmt numFmtId="197" formatCode="_-* #,##0\ &quot;F&quot;_-;\-* #,##0\ &quot;F&quot;_-;_-* &quot;-&quot;\ &quot;F&quot;_-;_-@_-"/>
    <numFmt numFmtId="198" formatCode="#,##0.00000"/>
    <numFmt numFmtId="199" formatCode="0.0\x_)_);&quot;NM&quot;_x_)_);0.0\x_)_);@_%_)"/>
    <numFmt numFmtId="200" formatCode="#,##0.000000000000_);\(#,##0.000000000000\)"/>
    <numFmt numFmtId="201" formatCode="#,##0.00%;[Red]\-#,##0.00%;0.00%;@_)"/>
    <numFmt numFmtId="202" formatCode="mm/dd/yy"/>
    <numFmt numFmtId="203" formatCode="0\ \ ;\(0\)\ \ \ "/>
    <numFmt numFmtId="204" formatCode="_ * #,##0_ ;_ * \-#,##0_ ;_ * &quot;-&quot;??_ ;_ @_ "/>
    <numFmt numFmtId="205" formatCode="0.00000"/>
    <numFmt numFmtId="206" formatCode="0.000000"/>
    <numFmt numFmtId="207" formatCode="_ * #,##0.00000_ ;_ * \-#,##0.00000_ ;_ * &quot;-&quot;??_ ;_ @_ "/>
    <numFmt numFmtId="208" formatCode="_ * #,##0.0000_ ;_ * \-#,##0.0000_ ;_ * &quot;-&quot;??_ ;_ @_ "/>
    <numFmt numFmtId="209" formatCode="0.000"/>
    <numFmt numFmtId="210" formatCode="&quot;€/m²&quot;* #,##0.00_);&quot;€/m²&quot;* \(#,##0.00\)"/>
    <numFmt numFmtId="211" formatCode="0.00;[Red]0.00"/>
    <numFmt numFmtId="212" formatCode="00000000"/>
    <numFmt numFmtId="213" formatCode="\ #,##0_);\(#,##0\)"/>
    <numFmt numFmtId="214" formatCode="#,##0.0_ ;[Red]\-#,##0.0\ "/>
    <numFmt numFmtId="215" formatCode="###\ ###\ ##"/>
    <numFmt numFmtId="216" formatCode="#,##0;\-#,##0;\-"/>
    <numFmt numFmtId="217" formatCode="#,##0.00;\-#,##0.00;&quot;-&quot;"/>
    <numFmt numFmtId="218" formatCode="#,##0%;\-#,##0%;&quot;- &quot;"/>
    <numFmt numFmtId="219" formatCode="#,##0.0%;\-#,##0.0%;&quot;- &quot;"/>
    <numFmt numFmtId="220" formatCode="#,##0.00%;\-#,##0.00%;&quot;- &quot;"/>
    <numFmt numFmtId="221" formatCode="#,##0;\-#,##0;&quot;-&quot;"/>
    <numFmt numFmtId="222" formatCode="#,##0.0;\-#,##0.0;&quot;-&quot;"/>
    <numFmt numFmtId="223" formatCode="&quot;CHF&quot;* #,##0_);&quot;CHF&quot;* \ \(#,##0\)"/>
    <numFmt numFmtId="224" formatCode="&quot;CHF&quot;* #,##0_)&quot;Mio.&quot;;&quot;CHF&quot;* \ \(#,##0\)&quot;Mio.&quot;"/>
    <numFmt numFmtId="225" formatCode="#,##0_)&quot;cm&quot;;\(#,###\)&quot;cm&quot;"/>
    <numFmt numFmtId="226" formatCode="\ #,##0.0%_);\(#,##0.0%\)"/>
    <numFmt numFmtId="227" formatCode="0.000_)"/>
    <numFmt numFmtId="228" formatCode="_-* #,##0.000_-;_-* #,##0.000\-;_-* &quot;-&quot;??_-;_-@_-"/>
    <numFmt numFmtId="229" formatCode="#."/>
    <numFmt numFmtId="230" formatCode="&quot;ct&quot;* #,##0_);&quot;ct&quot;* \ \(#,##0\)"/>
    <numFmt numFmtId="231" formatCode="_-&quot;fl&quot;\ * #,##0.00_-;_-&quot;fl&quot;\ * #,##0.00\-;_-&quot;fl&quot;\ * &quot;-&quot;??_-;_-@_-"/>
    <numFmt numFmtId="232" formatCode="yymmdd"/>
    <numFmt numFmtId="233" formatCode="mm\/yyyy"/>
    <numFmt numFmtId="234" formatCode="dd/mm/"/>
    <numFmt numFmtId="235" formatCode="dd/mmm/yyyy"/>
    <numFmt numFmtId="236" formatCode="\+#,##0.000\ \ \ ;\-#,##0.000\ \ \ "/>
    <numFmt numFmtId="237" formatCode="#,##0.00\ \ \ "/>
    <numFmt numFmtId="238" formatCode="#,##0.000\ "/>
    <numFmt numFmtId="239" formatCode="#,###.#;\(#,###.#\)"/>
    <numFmt numFmtId="240" formatCode="#,##0.0;\(#,##0.0\)"/>
    <numFmt numFmtId="241" formatCode="#,##0.0\x;\(#,##0.0\x\)"/>
    <numFmt numFmtId="242" formatCode="0.0%_);\(0.0%\)"/>
    <numFmt numFmtId="243" formatCode="0.0%_);\(0.0%\);\-"/>
    <numFmt numFmtId="244" formatCode="0.0%;\(0.0%\)"/>
    <numFmt numFmtId="245" formatCode="#,##0_);\(#,##0\);\-"/>
    <numFmt numFmtId="246" formatCode="&quot;€&quot;* #,##0.00_);&quot;€&quot;* \ \(#,##0.00\)"/>
    <numFmt numFmtId="247" formatCode="_-[$€]\ * #,##0.00_-;_-[$€]\ * #,##0.00\-;_-[$€]\ * &quot;-&quot;??_-;_-@_-"/>
    <numFmt numFmtId="248" formatCode="_-[$€-2]\ * #,##0.00_-;_-[$€-2]\ * #,##0.00\-;_-[$€-2]\ * &quot;-&quot;??_-"/>
    <numFmt numFmtId="249" formatCode="[$€]\ #,##0.00_-;[Red][$€]\ #,##0.00\-"/>
    <numFmt numFmtId="250" formatCode="_-[$€-2]* #,##0.00_-;\-[$€-2]* #,##0.00_-;_-[$€-2]* &quot;-&quot;??_-"/>
    <numFmt numFmtId="251" formatCode="&quot;€&quot;* #,##0_)&quot;bn&quot;;&quot;€&quot;* \ \(#,##0\)&quot;bn&quot;"/>
    <numFmt numFmtId="252" formatCode="&quot;€&quot;* #,##0_)&quot;Mio.&quot;;&quot;€&quot;* \ \(#,##0\)&quot;Mio.&quot;"/>
    <numFmt numFmtId="253" formatCode="_-* #,##0.00\ [$€-1]_-;\-* #,##0.00\ [$€-1]_-;_-* &quot;-&quot;??\ [$€-1]_-"/>
    <numFmt numFmtId="254" formatCode="\ #,##0.0\x_);\(#,##0.0\x\)"/>
    <numFmt numFmtId="255" formatCode="\£* #,##0_);\£* \ \(#,##0\)"/>
    <numFmt numFmtId="256" formatCode="\£* #,##0_)&quot;Mio.&quot;;\£* \ \(#,##0\)&quot;Mio.&quot;"/>
    <numFmt numFmtId="257" formatCode="\ #,##0_)&quot;GW&quot;;\(#,##0\)&quot;GW&quot;"/>
    <numFmt numFmtId="258" formatCode="\ #,##0_)&quot;GWh&quot;;\(#,##0\)&quot;GWh&quot;"/>
    <numFmt numFmtId="259" formatCode="\(0\)"/>
    <numFmt numFmtId="260" formatCode="0.0%\ \ "/>
    <numFmt numFmtId="261" formatCode="0.00%;\(0.00%\)"/>
    <numFmt numFmtId="262" formatCode="#,##0.00;\(#,##0.00\)"/>
    <numFmt numFmtId="263" formatCode="#,##0.00\ \ "/>
    <numFmt numFmtId="264" formatCode="#,##0.000\ \ \ "/>
    <numFmt numFmtId="265" formatCode="#,##0;\(#,##0\);_(* &quot;-&quot;??_);_(@_)"/>
    <numFmt numFmtId="266" formatCode="#,##0_)&quot;km&quot;;\(#,###\)&quot;km&quot;"/>
    <numFmt numFmtId="267" formatCode="\ #,##0_)&quot;kW&quot;;\(#,##0\)&quot;kW&quot;"/>
    <numFmt numFmtId="268" formatCode="\ #,##0_)&quot;kWh&quot;;\(#,##0\)&quot;kWh&quot;"/>
    <numFmt numFmtId="269" formatCode="[=0]#;#,##0.0"/>
    <numFmt numFmtId="270" formatCode="#,##0_)&quot;m&quot;;\(#,###\)&quot;m&quot;"/>
    <numFmt numFmtId="271" formatCode="#,##0_)&quot;m²&quot;;\(#,###\)&quot;m²&quot;"/>
    <numFmt numFmtId="272" formatCode="#,##0_)&quot;m³&quot;;\(#,###\)&quot;m³&quot;"/>
    <numFmt numFmtId="273" formatCode="[Red]&quot;Too long&quot;;[Red]&quot;Mandatory field&quot;;&quot;OK&quot;"/>
    <numFmt numFmtId="274" formatCode="\ #,##0_)&quot;MW&quot;;\(#,##0\)&quot;MW&quot;"/>
    <numFmt numFmtId="275" formatCode="\ #,##0_)&quot;MWh&quot;;\(#,##0\)&quot;MWh&quot;"/>
    <numFmt numFmtId="276" formatCode="\ ###0_);\(###0\)"/>
    <numFmt numFmtId="277" formatCode="\ #,##0.00_);\(#,##0.00\)"/>
    <numFmt numFmtId="278" formatCode="#,##0_)%;\(#,##0\)%"/>
    <numFmt numFmtId="279" formatCode="0%;\(0%\)"/>
    <numFmt numFmtId="280" formatCode="0%\ \ "/>
    <numFmt numFmtId="281" formatCode="0.0&quot;x&quot;;@_)"/>
    <numFmt numFmtId="282" formatCode="\ \ @"/>
    <numFmt numFmtId="283" formatCode="\ \ \ \ @"/>
    <numFmt numFmtId="284" formatCode="hh:mm\ &quot;Uhr&quot;"/>
    <numFmt numFmtId="285" formatCode="\ #,##0_)&quot;TWh&quot;;\(#,##0\)&quot;TWh&quot;"/>
    <numFmt numFmtId="286" formatCode="\$* #,##0.00_);\$* \ \(#,##0.00\)"/>
    <numFmt numFmtId="287" formatCode="\$* #,##0_)&quot;Mio.&quot;;\$* \ \(#,##0\)&quot;Mio.&quot;"/>
    <numFmt numFmtId="288" formatCode="#,##0\ &quot;DM&quot;;[Red]\-#,##0\ &quot;DM&quot;"/>
    <numFmt numFmtId="289" formatCode="#,##0.00\ &quot;DM&quot;;[Red]\-#,##0.00\ &quot;DM&quot;"/>
    <numFmt numFmtId="290" formatCode="General&quot;a&quot;"/>
    <numFmt numFmtId="291" formatCode="General&quot;e&quot;"/>
    <numFmt numFmtId="292" formatCode="&quot;¥&quot;* #,##0_);&quot;¥&quot;* \ \(#,##0\)"/>
    <numFmt numFmtId="293" formatCode="&quot;¥&quot;* #,##0_)&quot;Mio.&quot;;&quot;¥&quot;* \ \(#,##0\)&quot;Mio.&quot;"/>
    <numFmt numFmtId="294" formatCode="#,##0.0000"/>
    <numFmt numFmtId="295" formatCode="[$-413]d/mmm/yy;@"/>
    <numFmt numFmtId="296" formatCode="#,##0.0_)\x;\(#,##0.0\)\x"/>
    <numFmt numFmtId="297" formatCode="&quot;$&quot;_(#,##0.00_);&quot;$&quot;\(#,##0.00\)"/>
    <numFmt numFmtId="298" formatCode="#,##0.0_)_x;\(#,##0.0\)_x"/>
    <numFmt numFmtId="299" formatCode="0.0_)\%;\(0.0\)\%"/>
    <numFmt numFmtId="300" formatCode="#,##0.0_)_%;\(#,##0.0\)_%"/>
    <numFmt numFmtId="301" formatCode="#.00"/>
    <numFmt numFmtId="302" formatCode="#,##0.0;[Red]\(#,##0.0\)"/>
    <numFmt numFmtId="303" formatCode="0_)"/>
    <numFmt numFmtId="304" formatCode="##\ ##"/>
    <numFmt numFmtId="305" formatCode="##\ ##\ #"/>
    <numFmt numFmtId="306" formatCode="##\ ##\ ##"/>
    <numFmt numFmtId="307" formatCode="##\ ##\ ##\ ###"/>
    <numFmt numFmtId="308" formatCode="_-* #,##0.00\ _€_-;\-* #,##0.00\ _€_-;_-* &quot;-&quot;??\ _€_-;_-@_-"/>
    <numFmt numFmtId="309" formatCode="_-* #,##0.00\ &quot;€&quot;_-;\-* #,##0.00\ &quot;€&quot;_-;_-* &quot;-&quot;??\ &quot;€&quot;_-;_-@_-"/>
    <numFmt numFmtId="310" formatCode="_(&quot;€&quot;\ * #,##0.00_);_(&quot;€&quot;\ * \(#,##0.00\);_(&quot;€&quot;\ * &quot;-&quot;??_);_(@_)"/>
    <numFmt numFmtId="311" formatCode="_-* #,##0.00_-;\-* #,##0.00_-;_-* &quot;-&quot;??_-;_-@_-"/>
    <numFmt numFmtId="312" formatCode="&quot;$&quot;#,##0.00"/>
    <numFmt numFmtId="313" formatCode="_ [$€-413]\ * #,##0.00_ ;_ [$€-413]\ * \-#,##0.00_ ;_ [$€-413]\ * &quot;-&quot;??_ ;_ @_ "/>
    <numFmt numFmtId="314" formatCode="&quot;€&quot;\ #,##0.00"/>
    <numFmt numFmtId="315" formatCode="_-* #,##0.0000_-;_-* #,##0.0000\-;_-* &quot;-&quot;??_-;_-@_-"/>
    <numFmt numFmtId="316" formatCode="_-* #,##0_-;_-* #,##0\-;_-* &quot;-&quot;??_-;_-@_-"/>
    <numFmt numFmtId="317" formatCode="#,##0.00_-;[Red]#,##0.00\-;\-"/>
    <numFmt numFmtId="318" formatCode="#_)"/>
    <numFmt numFmtId="319" formatCode="_-* #,##0.0_-;_-* #,##0.0\-;_-* &quot;-&quot;??_-;_-@_-"/>
    <numFmt numFmtId="320" formatCode="#,##0.00_ ;[Red]\-#,##0.00\ "/>
    <numFmt numFmtId="321" formatCode="_ * #,##0.0_ ;_ * \-#,##0.0_ ;_ * &quot;-&quot;??_ ;_ @_ "/>
  </numFmts>
  <fonts count="276">
    <font>
      <sz val="11"/>
      <color theme="1"/>
      <name val="Calibri"/>
      <family val="2"/>
      <scheme val="minor"/>
    </font>
    <font>
      <sz val="11"/>
      <color theme="1"/>
      <name val="Calibri"/>
      <family val="2"/>
      <scheme val="minor"/>
    </font>
    <font>
      <b/>
      <sz val="10"/>
      <name val="Arial"/>
      <family val="2"/>
    </font>
    <font>
      <sz val="9"/>
      <color rgb="FF00B0F0"/>
      <name val="Arial"/>
      <family val="2"/>
    </font>
    <font>
      <b/>
      <sz val="9"/>
      <color rgb="FFFF0000"/>
      <name val="Arial"/>
      <family val="2"/>
    </font>
    <font>
      <sz val="9"/>
      <color theme="1"/>
      <name val="Calibri"/>
      <family val="2"/>
      <scheme val="minor"/>
    </font>
    <font>
      <b/>
      <sz val="9"/>
      <name val="Arial"/>
      <family val="2"/>
    </font>
    <font>
      <sz val="9"/>
      <color rgb="FF0000FF"/>
      <name val="Arial"/>
      <family val="2"/>
    </font>
    <font>
      <sz val="11"/>
      <color rgb="FF00B0F0"/>
      <name val="Arial"/>
      <family val="2"/>
    </font>
    <font>
      <sz val="10"/>
      <name val="Arial"/>
      <family val="2"/>
    </font>
    <font>
      <b/>
      <sz val="12"/>
      <name val="Arial"/>
      <family val="2"/>
    </font>
    <font>
      <sz val="12"/>
      <name val="Times New Roman"/>
      <family val="1"/>
    </font>
    <font>
      <sz val="10"/>
      <name val="KPN Arial"/>
    </font>
    <font>
      <b/>
      <sz val="8"/>
      <color indexed="81"/>
      <name val="Tahoma"/>
      <family val="2"/>
    </font>
    <font>
      <sz val="8"/>
      <color indexed="81"/>
      <name val="Tahoma"/>
      <family val="2"/>
    </font>
    <font>
      <sz val="10"/>
      <name val="Geneva"/>
    </font>
    <font>
      <sz val="8"/>
      <name val="Arial"/>
      <family val="2"/>
    </font>
    <font>
      <sz val="10"/>
      <color indexed="8"/>
      <name val="MS Sans Serif"/>
      <family val="2"/>
    </font>
    <font>
      <sz val="10"/>
      <name val="Helv"/>
    </font>
    <font>
      <sz val="8"/>
      <name val="KPN Arial"/>
      <family val="2"/>
    </font>
    <font>
      <sz val="10"/>
      <name val="MS Sans Serif"/>
      <family val="2"/>
    </font>
    <font>
      <sz val="8"/>
      <color indexed="12"/>
      <name val="KPN Arial"/>
      <family val="2"/>
    </font>
    <font>
      <sz val="8"/>
      <name val="Times New Roman"/>
      <family val="1"/>
    </font>
    <font>
      <b/>
      <i/>
      <sz val="11"/>
      <name val="Arial"/>
      <family val="2"/>
    </font>
    <font>
      <sz val="8"/>
      <name val="Palatino"/>
      <family val="1"/>
    </font>
    <font>
      <sz val="10"/>
      <color indexed="16"/>
      <name val="MS Sans Serif"/>
      <family val="2"/>
    </font>
    <font>
      <sz val="18"/>
      <name val="Courier New"/>
      <family val="3"/>
    </font>
    <font>
      <sz val="7"/>
      <color indexed="10"/>
      <name val="Helvetica"/>
      <family val="2"/>
    </font>
    <font>
      <b/>
      <sz val="10"/>
      <color indexed="9"/>
      <name val="Arial"/>
      <family val="2"/>
    </font>
    <font>
      <b/>
      <sz val="8"/>
      <color indexed="9"/>
      <name val="Arial"/>
      <family val="2"/>
    </font>
    <font>
      <b/>
      <sz val="8"/>
      <color indexed="8"/>
      <name val="Arial"/>
      <family val="2"/>
    </font>
    <font>
      <b/>
      <sz val="8"/>
      <color indexed="8"/>
      <name val="Courier New"/>
      <family val="3"/>
    </font>
    <font>
      <sz val="9"/>
      <name val="Tms Rmn"/>
    </font>
    <font>
      <sz val="10"/>
      <name val="MS Serif"/>
      <family val="1"/>
    </font>
    <font>
      <sz val="12"/>
      <name val="Courier New"/>
      <family val="3"/>
    </font>
    <font>
      <sz val="7"/>
      <name val="MS Sans Serif"/>
      <family val="2"/>
    </font>
    <font>
      <sz val="10"/>
      <color indexed="16"/>
      <name val="MS Serif"/>
      <family val="1"/>
    </font>
    <font>
      <u/>
      <sz val="10"/>
      <color indexed="36"/>
      <name val="Arial"/>
      <family val="2"/>
    </font>
    <font>
      <sz val="7"/>
      <name val="Palatino"/>
      <family val="1"/>
    </font>
    <font>
      <sz val="6"/>
      <color indexed="16"/>
      <name val="Palatino"/>
      <family val="1"/>
    </font>
    <font>
      <b/>
      <sz val="8"/>
      <name val="MS Sans Serif"/>
      <family val="2"/>
    </font>
    <font>
      <sz val="10"/>
      <color indexed="9"/>
      <name val="MS Sans Serif"/>
      <family val="2"/>
    </font>
    <font>
      <sz val="8"/>
      <color indexed="17"/>
      <name val="Helvetica"/>
      <family val="2"/>
    </font>
    <font>
      <sz val="12"/>
      <name val="Helv"/>
    </font>
    <font>
      <sz val="9"/>
      <name val="Arial"/>
      <family val="2"/>
    </font>
    <font>
      <sz val="11"/>
      <color indexed="8"/>
      <name val="Calibri"/>
      <family val="2"/>
    </font>
    <font>
      <b/>
      <sz val="10"/>
      <color indexed="8"/>
      <name val="Arial"/>
      <family val="2"/>
    </font>
    <font>
      <sz val="10"/>
      <color indexed="25"/>
      <name val="Helvetica"/>
      <family val="2"/>
    </font>
    <font>
      <sz val="12"/>
      <color indexed="9"/>
      <name val="Helv"/>
    </font>
    <font>
      <i/>
      <sz val="9"/>
      <color indexed="16"/>
      <name val="Arial"/>
      <family val="2"/>
    </font>
    <font>
      <sz val="7"/>
      <name val="Small Fonts"/>
      <family val="2"/>
    </font>
    <font>
      <sz val="10"/>
      <name val="Times New Roman"/>
      <family val="1"/>
    </font>
    <font>
      <sz val="10"/>
      <color theme="1"/>
      <name val="Arial"/>
      <family val="2"/>
    </font>
    <font>
      <sz val="10"/>
      <name val="Arial MT"/>
      <family val="2"/>
    </font>
    <font>
      <sz val="11"/>
      <color indexed="8"/>
      <name val="Times New Roman"/>
      <family val="1"/>
    </font>
    <font>
      <b/>
      <i/>
      <sz val="10"/>
      <color indexed="8"/>
      <name val="Arial"/>
      <family val="2"/>
    </font>
    <font>
      <b/>
      <sz val="11"/>
      <color indexed="16"/>
      <name val="Times New Roman"/>
      <family val="1"/>
    </font>
    <font>
      <b/>
      <sz val="10"/>
      <color indexed="17"/>
      <name val="Arial"/>
      <family val="2"/>
    </font>
    <font>
      <b/>
      <sz val="16"/>
      <color indexed="13"/>
      <name val="Arial"/>
      <family val="2"/>
    </font>
    <font>
      <sz val="10"/>
      <name val="Arial"/>
      <family val="2"/>
      <charset val="177"/>
    </font>
    <font>
      <sz val="10"/>
      <color indexed="16"/>
      <name val="Helvetica-Black"/>
    </font>
    <font>
      <sz val="10"/>
      <name val="Courier New"/>
      <family val="3"/>
    </font>
    <font>
      <sz val="10"/>
      <color indexed="18"/>
      <name val="MS Sans Serif"/>
      <family val="2"/>
    </font>
    <font>
      <sz val="8"/>
      <name val="Wingdings"/>
      <charset val="2"/>
    </font>
    <font>
      <sz val="24"/>
      <name val="Courier New"/>
      <family val="3"/>
    </font>
    <font>
      <b/>
      <sz val="12"/>
      <color indexed="8"/>
      <name val="Arial"/>
      <family val="2"/>
    </font>
    <font>
      <sz val="8"/>
      <name val="Helv"/>
    </font>
    <font>
      <sz val="8"/>
      <color indexed="8"/>
      <name val="Arial"/>
      <family val="2"/>
    </font>
    <font>
      <sz val="8"/>
      <color indexed="12"/>
      <name val="Arial"/>
      <family val="2"/>
    </font>
    <font>
      <b/>
      <i/>
      <sz val="12"/>
      <name val="Arial"/>
      <family val="2"/>
    </font>
    <font>
      <b/>
      <i/>
      <sz val="24"/>
      <name val="Times New Roman"/>
      <family val="1"/>
    </font>
    <font>
      <sz val="8"/>
      <name val="MS Sans Serif"/>
      <family val="2"/>
    </font>
    <font>
      <b/>
      <sz val="8"/>
      <name val="Arial"/>
      <family val="2"/>
    </font>
    <font>
      <i/>
      <sz val="10"/>
      <color indexed="13"/>
      <name val="MS Sans Serif"/>
      <family val="2"/>
    </font>
    <font>
      <b/>
      <sz val="8"/>
      <color indexed="8"/>
      <name val="Helv"/>
    </font>
    <font>
      <b/>
      <sz val="9"/>
      <name val="Palatino"/>
      <family val="1"/>
    </font>
    <font>
      <sz val="9"/>
      <color indexed="21"/>
      <name val="Helvetica-Black"/>
    </font>
    <font>
      <sz val="9"/>
      <name val="Helvetica-Black"/>
    </font>
    <font>
      <b/>
      <sz val="16"/>
      <color indexed="62"/>
      <name val="Arial"/>
      <family val="2"/>
    </font>
    <font>
      <sz val="8"/>
      <color indexed="8"/>
      <name val="Wingdings"/>
      <charset val="2"/>
    </font>
    <font>
      <b/>
      <i/>
      <sz val="8"/>
      <name val="Helv"/>
    </font>
    <font>
      <b/>
      <sz val="9"/>
      <color rgb="FFF2F2F2"/>
      <name val="Arial"/>
      <family val="2"/>
    </font>
    <font>
      <sz val="9"/>
      <color rgb="FFFFFFFF"/>
      <name val="Arial"/>
      <family val="2"/>
    </font>
    <font>
      <b/>
      <sz val="9"/>
      <color rgb="FFFFFFFF"/>
      <name val="Arial"/>
      <family val="2"/>
    </font>
    <font>
      <sz val="9"/>
      <name val="Times New Roman"/>
      <family val="1"/>
    </font>
    <font>
      <b/>
      <i/>
      <sz val="9"/>
      <name val="Arial"/>
      <family val="2"/>
    </font>
    <font>
      <i/>
      <sz val="9"/>
      <color rgb="FF0000FF"/>
      <name val="Arial"/>
      <family val="2"/>
    </font>
    <font>
      <b/>
      <sz val="9"/>
      <color theme="0"/>
      <name val="Arial"/>
      <family val="2"/>
    </font>
    <font>
      <sz val="9"/>
      <color rgb="FF000000"/>
      <name val="Calibri"/>
      <family val="2"/>
    </font>
    <font>
      <b/>
      <sz val="9"/>
      <color theme="1"/>
      <name val="Calibri"/>
      <family val="2"/>
      <scheme val="minor"/>
    </font>
    <font>
      <b/>
      <sz val="16"/>
      <color indexed="9"/>
      <name val="Arial"/>
      <family val="2"/>
    </font>
    <font>
      <b/>
      <sz val="14"/>
      <name val="Arial"/>
      <family val="2"/>
    </font>
    <font>
      <sz val="10"/>
      <color indexed="8"/>
      <name val="Arial"/>
      <family val="2"/>
    </font>
    <font>
      <b/>
      <sz val="9"/>
      <name val="Calibri"/>
      <family val="2"/>
      <scheme val="minor"/>
    </font>
    <font>
      <sz val="9"/>
      <name val="Calibri"/>
      <family val="2"/>
      <scheme val="minor"/>
    </font>
    <font>
      <sz val="9"/>
      <color rgb="FF006600"/>
      <name val="Calibri"/>
      <family val="2"/>
      <scheme val="minor"/>
    </font>
    <font>
      <sz val="9"/>
      <color rgb="FF0000FF"/>
      <name val="Calibri"/>
      <family val="2"/>
      <scheme val="minor"/>
    </font>
    <font>
      <b/>
      <sz val="11"/>
      <color theme="1"/>
      <name val="Calibri"/>
      <family val="2"/>
      <scheme val="minor"/>
    </font>
    <font>
      <sz val="9"/>
      <color indexed="12"/>
      <name val="Arial"/>
      <family val="2"/>
    </font>
    <font>
      <sz val="11"/>
      <color theme="0"/>
      <name val="Calibri"/>
      <family val="2"/>
      <scheme val="minor"/>
    </font>
    <font>
      <sz val="10"/>
      <color indexed="8"/>
      <name val="Times New Roman"/>
      <family val="1"/>
    </font>
    <font>
      <sz val="10"/>
      <name val="Helv"/>
      <charset val="204"/>
    </font>
    <font>
      <sz val="10"/>
      <name val="Verdana"/>
      <family val="2"/>
    </font>
    <font>
      <i/>
      <sz val="10"/>
      <name val="Arial"/>
      <family val="2"/>
    </font>
    <font>
      <sz val="10"/>
      <name val="Geneva"/>
      <family val="2"/>
    </font>
    <font>
      <sz val="10"/>
      <name val="Helv"/>
      <family val="2"/>
    </font>
    <font>
      <sz val="12"/>
      <name val="Arial"/>
      <family val="2"/>
    </font>
    <font>
      <sz val="8"/>
      <name val="Antique Olive"/>
      <family val="2"/>
    </font>
    <font>
      <sz val="8"/>
      <name val="Geneva"/>
    </font>
    <font>
      <sz val="11"/>
      <color indexed="9"/>
      <name val="Calibri"/>
      <family val="2"/>
    </font>
    <font>
      <sz val="11"/>
      <color indexed="37"/>
      <name val="Calibri"/>
      <family val="2"/>
    </font>
    <font>
      <sz val="10"/>
      <color indexed="20"/>
      <name val="Calibri"/>
      <family val="2"/>
    </font>
    <font>
      <sz val="9"/>
      <name val="Univers"/>
      <family val="2"/>
    </font>
    <font>
      <sz val="11"/>
      <name val="Arial"/>
      <family val="2"/>
    </font>
    <font>
      <b/>
      <sz val="11"/>
      <color indexed="17"/>
      <name val="Calibri"/>
      <family val="2"/>
    </font>
    <font>
      <b/>
      <sz val="10"/>
      <name val="Helv"/>
    </font>
    <font>
      <b/>
      <sz val="8"/>
      <color indexed="8"/>
      <name val="Verdana"/>
      <family val="2"/>
    </font>
    <font>
      <b/>
      <sz val="11"/>
      <color indexed="9"/>
      <name val="Calibri"/>
      <family val="2"/>
    </font>
    <font>
      <sz val="10"/>
      <name val="Calibri"/>
      <family val="2"/>
    </font>
    <font>
      <sz val="10"/>
      <color indexed="12"/>
      <name val="Arial"/>
      <family val="2"/>
    </font>
    <font>
      <b/>
      <sz val="10"/>
      <name val="Times New Roman"/>
      <family val="1"/>
    </font>
    <font>
      <sz val="11"/>
      <name val="Tms Rmn"/>
    </font>
    <font>
      <sz val="1"/>
      <color indexed="16"/>
      <name val="Courier"/>
      <family val="3"/>
    </font>
    <font>
      <sz val="12"/>
      <color indexed="8"/>
      <name val="Arial"/>
      <family val="2"/>
    </font>
    <font>
      <b/>
      <sz val="12"/>
      <name val="Helv"/>
    </font>
    <font>
      <sz val="9"/>
      <color indexed="8"/>
      <name val="Arial"/>
      <family val="2"/>
    </font>
    <font>
      <sz val="10"/>
      <color indexed="47"/>
      <name val="Arial"/>
      <family val="2"/>
    </font>
    <font>
      <sz val="10"/>
      <name val="DKBRHelvetica"/>
      <family val="2"/>
    </font>
    <font>
      <sz val="8"/>
      <color indexed="47"/>
      <name val="Arial"/>
      <family val="2"/>
    </font>
    <font>
      <b/>
      <sz val="11"/>
      <color indexed="8"/>
      <name val="Calibri"/>
      <family val="2"/>
    </font>
    <font>
      <sz val="10"/>
      <color indexed="18"/>
      <name val="Arial"/>
      <family val="2"/>
    </font>
    <font>
      <i/>
      <sz val="8"/>
      <name val="Arial"/>
      <family val="2"/>
    </font>
    <font>
      <sz val="11"/>
      <color indexed="23"/>
      <name val="Arial"/>
      <family val="2"/>
    </font>
    <font>
      <b/>
      <sz val="15"/>
      <color indexed="62"/>
      <name val="Calibri"/>
      <family val="2"/>
    </font>
    <font>
      <sz val="18"/>
      <name val="Helvetica-Black"/>
    </font>
    <font>
      <i/>
      <sz val="14"/>
      <name val="Palatino"/>
      <family val="1"/>
    </font>
    <font>
      <b/>
      <sz val="11"/>
      <color indexed="62"/>
      <name val="Calibri"/>
      <family val="2"/>
    </font>
    <font>
      <b/>
      <sz val="10"/>
      <color indexed="31"/>
      <name val="Arial"/>
      <family val="2"/>
    </font>
    <font>
      <b/>
      <sz val="12"/>
      <name val="Frutiger 55 Roman"/>
    </font>
    <font>
      <u/>
      <sz val="7.5"/>
      <color indexed="12"/>
      <name val="Arial"/>
      <family val="2"/>
    </font>
    <font>
      <u/>
      <sz val="10"/>
      <color indexed="12"/>
      <name val="Arial"/>
      <family val="2"/>
    </font>
    <font>
      <u/>
      <sz val="6"/>
      <color indexed="12"/>
      <name val="Arial"/>
      <family val="2"/>
    </font>
    <font>
      <sz val="10"/>
      <color indexed="18"/>
      <name val="Palatino"/>
    </font>
    <font>
      <b/>
      <sz val="10"/>
      <color indexed="12"/>
      <name val="Arial"/>
      <family val="2"/>
    </font>
    <font>
      <i/>
      <sz val="9"/>
      <color indexed="12"/>
      <name val="Arial"/>
      <family val="2"/>
    </font>
    <font>
      <sz val="9"/>
      <color indexed="12"/>
      <name val="Frutiger 55 Roman"/>
    </font>
    <font>
      <b/>
      <sz val="10"/>
      <color indexed="10"/>
      <name val="Arial"/>
      <family val="2"/>
    </font>
    <font>
      <i/>
      <sz val="9"/>
      <color indexed="10"/>
      <name val="Arial"/>
      <family val="2"/>
    </font>
    <font>
      <sz val="10"/>
      <color indexed="10"/>
      <name val="Arial"/>
      <family val="2"/>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10"/>
      <color indexed="14"/>
      <name val="Arial"/>
      <family val="2"/>
    </font>
    <font>
      <b/>
      <sz val="10"/>
      <color indexed="11"/>
      <name val="Arial"/>
      <family val="2"/>
    </font>
    <font>
      <i/>
      <sz val="9"/>
      <color indexed="11"/>
      <name val="Arial"/>
      <family val="2"/>
    </font>
    <font>
      <sz val="10"/>
      <color indexed="17"/>
      <name val="Arial"/>
      <family val="2"/>
    </font>
    <font>
      <sz val="11"/>
      <color indexed="17"/>
      <name val="Calibri"/>
      <family val="2"/>
    </font>
    <font>
      <b/>
      <sz val="11"/>
      <name val="Helv"/>
    </font>
    <font>
      <sz val="11"/>
      <color indexed="24"/>
      <name val="Arial"/>
      <family val="2"/>
    </font>
    <font>
      <sz val="8"/>
      <color indexed="10"/>
      <name val="Arial"/>
      <family val="2"/>
    </font>
    <font>
      <sz val="10"/>
      <name val="Palatino"/>
    </font>
    <font>
      <sz val="11"/>
      <color indexed="8"/>
      <name val="Trebuchet MS"/>
      <family val="2"/>
    </font>
    <font>
      <sz val="10"/>
      <name val="Arial "/>
    </font>
    <font>
      <sz val="10"/>
      <name val="Arial CE"/>
      <charset val="238"/>
    </font>
    <font>
      <i/>
      <sz val="10"/>
      <name val="Helv"/>
    </font>
    <font>
      <sz val="8"/>
      <color indexed="55"/>
      <name val="Arial"/>
      <family val="2"/>
    </font>
    <font>
      <sz val="8"/>
      <name val="Tahoma"/>
      <family val="2"/>
    </font>
    <font>
      <b/>
      <sz val="11"/>
      <color indexed="63"/>
      <name val="Calibri"/>
      <family val="2"/>
    </font>
    <font>
      <b/>
      <sz val="10"/>
      <color indexed="63"/>
      <name val="Arial"/>
      <family val="2"/>
    </font>
    <font>
      <i/>
      <sz val="9"/>
      <name val="Arial"/>
      <family val="2"/>
    </font>
    <font>
      <sz val="24"/>
      <name val="Arial Narrow"/>
      <family val="2"/>
    </font>
    <font>
      <b/>
      <i/>
      <sz val="10"/>
      <color indexed="48"/>
      <name val="Arial"/>
      <family val="2"/>
    </font>
    <font>
      <sz val="9"/>
      <color indexed="8"/>
      <name val="Frutiger 55 Roman"/>
    </font>
    <font>
      <b/>
      <sz val="10"/>
      <name val="MS Sans Serif"/>
      <family val="2"/>
    </font>
    <font>
      <sz val="8"/>
      <color indexed="60"/>
      <name val="Trebuchet MS"/>
      <family val="2"/>
    </font>
    <font>
      <i/>
      <sz val="8"/>
      <color indexed="55"/>
      <name val="Arial"/>
      <family val="2"/>
    </font>
    <font>
      <sz val="8"/>
      <color indexed="62"/>
      <name val="Arial"/>
      <family val="2"/>
    </font>
    <font>
      <sz val="10"/>
      <color indexed="39"/>
      <name val="Arial"/>
      <family val="2"/>
    </font>
    <font>
      <sz val="19"/>
      <name val="Arial"/>
      <family val="2"/>
    </font>
    <font>
      <b/>
      <sz val="16"/>
      <color indexed="23"/>
      <name val="Arial"/>
      <family val="2"/>
    </font>
    <font>
      <sz val="8"/>
      <color indexed="14"/>
      <name val="Arial"/>
      <family val="2"/>
    </font>
    <font>
      <b/>
      <sz val="18"/>
      <color indexed="62"/>
      <name val="Cambria"/>
      <family val="2"/>
    </font>
    <font>
      <sz val="11"/>
      <color rgb="FF000000"/>
      <name val="Calibri"/>
      <family val="2"/>
      <scheme val="minor"/>
    </font>
    <font>
      <b/>
      <sz val="14"/>
      <color indexed="32"/>
      <name val="Arial"/>
      <family val="2"/>
    </font>
    <font>
      <b/>
      <sz val="11"/>
      <name val="Arial"/>
      <family val="2"/>
    </font>
    <font>
      <b/>
      <sz val="18"/>
      <color indexed="8"/>
      <name val="Frutiger 55 Roman"/>
    </font>
    <font>
      <b/>
      <sz val="11"/>
      <name val="Frutiger 55 Roman"/>
    </font>
    <font>
      <b/>
      <sz val="9"/>
      <color indexed="8"/>
      <name val="Frutiger 55 Roman"/>
    </font>
    <font>
      <i/>
      <sz val="9"/>
      <color indexed="8"/>
      <name val="Frutiger 55 Roman"/>
    </font>
    <font>
      <sz val="11"/>
      <color indexed="14"/>
      <name val="Calibri"/>
      <family val="2"/>
    </font>
    <font>
      <b/>
      <sz val="12"/>
      <name val="MS Sans Serif"/>
      <family val="2"/>
    </font>
    <font>
      <sz val="11"/>
      <name val="Calibri"/>
      <family val="2"/>
      <scheme val="minor"/>
    </font>
    <font>
      <sz val="11"/>
      <color theme="3"/>
      <name val="Calibri"/>
      <family val="2"/>
      <scheme val="minor"/>
    </font>
    <font>
      <sz val="9"/>
      <color indexed="9"/>
      <name val="Arial"/>
      <family val="2"/>
    </font>
    <font>
      <b/>
      <sz val="9"/>
      <color indexed="9"/>
      <name val="Arial"/>
      <family val="2"/>
    </font>
    <font>
      <b/>
      <sz val="9"/>
      <name val="KPN Sans"/>
      <family val="2"/>
    </font>
    <font>
      <sz val="9"/>
      <name val="KPN Sans"/>
      <family val="2"/>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b/>
      <sz val="11"/>
      <color rgb="FF3F3F3F"/>
      <name val="Calibri"/>
      <family val="2"/>
      <scheme val="minor"/>
    </font>
    <font>
      <b/>
      <sz val="11"/>
      <color theme="0"/>
      <name val="Calibri"/>
      <family val="2"/>
      <scheme val="minor"/>
    </font>
    <font>
      <i/>
      <sz val="11"/>
      <color rgb="FF7F7F7F"/>
      <name val="Calibri"/>
      <family val="2"/>
      <scheme val="minor"/>
    </font>
    <font>
      <sz val="11"/>
      <color rgb="FF3F3F76"/>
      <name val="Calibri"/>
      <family val="2"/>
      <scheme val="minor"/>
    </font>
    <font>
      <b/>
      <sz val="9"/>
      <color theme="1"/>
      <name val="KPN Sans"/>
      <family val="2"/>
    </font>
    <font>
      <sz val="10"/>
      <color theme="1"/>
      <name val="Tahoma"/>
      <family val="2"/>
    </font>
    <font>
      <sz val="9.75"/>
      <name val="Arial"/>
      <family val="2"/>
    </font>
    <font>
      <sz val="12"/>
      <color indexed="12"/>
      <name val="times new roman"/>
      <family val="1"/>
    </font>
    <font>
      <sz val="14"/>
      <name val="System"/>
      <family val="2"/>
    </font>
    <font>
      <b/>
      <sz val="11"/>
      <name val="Book Antiqua"/>
      <family val="1"/>
    </font>
    <font>
      <sz val="12"/>
      <name val="Arial MT"/>
    </font>
    <font>
      <b/>
      <sz val="12"/>
      <name val="Times New Roman"/>
      <family val="1"/>
    </font>
    <font>
      <sz val="12"/>
      <color indexed="8"/>
      <name val="Times New Roman"/>
      <family val="1"/>
    </font>
    <font>
      <sz val="11"/>
      <color indexed="20"/>
      <name val="Calibri"/>
      <family val="2"/>
    </font>
    <font>
      <b/>
      <sz val="11"/>
      <color indexed="52"/>
      <name val="Calibri"/>
      <family val="2"/>
    </font>
    <font>
      <sz val="10"/>
      <color indexed="8"/>
      <name val="Book Antiqua"/>
      <family val="1"/>
    </font>
    <font>
      <sz val="8"/>
      <color indexed="12"/>
      <name val="Tms Rmn"/>
    </font>
    <font>
      <sz val="12"/>
      <name val="Tms Rmn"/>
    </font>
    <font>
      <b/>
      <sz val="10"/>
      <color indexed="8"/>
      <name val="Times New Roman"/>
      <family val="1"/>
    </font>
    <font>
      <sz val="10"/>
      <color indexed="18"/>
      <name val="Times New Roman"/>
      <family val="1"/>
    </font>
    <font>
      <sz val="11"/>
      <name val="Tms Rmn"/>
      <family val="1"/>
    </font>
    <font>
      <sz val="11"/>
      <name val="Book Antiqua"/>
      <family val="1"/>
    </font>
    <font>
      <sz val="10"/>
      <name val="BERNHARD"/>
    </font>
    <font>
      <sz val="12"/>
      <color indexed="8"/>
      <name val="Book Antiqua"/>
      <family val="1"/>
    </font>
    <font>
      <sz val="1"/>
      <color indexed="8"/>
      <name val="Courier"/>
      <family val="3"/>
    </font>
    <font>
      <b/>
      <sz val="1"/>
      <color indexed="8"/>
      <name val="Courier"/>
      <family val="3"/>
    </font>
    <font>
      <i/>
      <sz val="11"/>
      <color indexed="23"/>
      <name val="Calibri"/>
      <family val="2"/>
    </font>
    <font>
      <sz val="11"/>
      <color indexed="52"/>
      <name val="Calibri"/>
      <family val="2"/>
    </font>
    <font>
      <sz val="12"/>
      <color indexed="9"/>
      <name val="Times New Roman"/>
      <family val="1"/>
    </font>
    <font>
      <b/>
      <sz val="15"/>
      <color indexed="56"/>
      <name val="Calibri"/>
      <family val="2"/>
    </font>
    <font>
      <b/>
      <sz val="13"/>
      <color indexed="56"/>
      <name val="Calibri"/>
      <family val="2"/>
    </font>
    <font>
      <b/>
      <sz val="11"/>
      <color indexed="56"/>
      <name val="Calibri"/>
      <family val="2"/>
    </font>
    <font>
      <sz val="11"/>
      <color indexed="62"/>
      <name val="Calibri"/>
      <family val="2"/>
    </font>
    <font>
      <sz val="8"/>
      <name val="KPN Sans"/>
      <family val="2"/>
    </font>
    <font>
      <sz val="10"/>
      <color indexed="25"/>
      <name val="Helvetica"/>
    </font>
    <font>
      <sz val="11"/>
      <color indexed="60"/>
      <name val="Calibri"/>
      <family val="2"/>
    </font>
    <font>
      <b/>
      <i/>
      <sz val="16"/>
      <name val="Helv"/>
      <family val="2"/>
    </font>
    <font>
      <sz val="8"/>
      <color theme="1"/>
      <name val="Calibri"/>
      <family val="2"/>
    </font>
    <font>
      <b/>
      <i/>
      <sz val="11"/>
      <color indexed="8"/>
      <name val="Times New Roman"/>
      <family val="1"/>
    </font>
    <font>
      <b/>
      <sz val="10"/>
      <color indexed="16"/>
      <name val="Meta"/>
      <family val="2"/>
    </font>
    <font>
      <b/>
      <sz val="22"/>
      <color indexed="8"/>
      <name val="Times New Roman"/>
      <family val="1"/>
    </font>
    <font>
      <b/>
      <sz val="12"/>
      <color indexed="9"/>
      <name val="Arial"/>
      <family val="2"/>
    </font>
    <font>
      <sz val="10"/>
      <name val="Tahoma"/>
      <family val="2"/>
    </font>
    <font>
      <sz val="8"/>
      <color theme="1"/>
      <name val="KPN Sans"/>
      <family val="2"/>
    </font>
    <font>
      <b/>
      <sz val="8"/>
      <color indexed="8"/>
      <name val="Helv"/>
      <family val="2"/>
    </font>
    <font>
      <b/>
      <sz val="18"/>
      <color indexed="56"/>
      <name val="Cambria"/>
      <family val="2"/>
    </font>
    <font>
      <b/>
      <sz val="6"/>
      <name val="Times New Roman"/>
      <family val="1"/>
    </font>
    <font>
      <sz val="11"/>
      <color indexed="10"/>
      <name val="Calibri"/>
      <family val="2"/>
    </font>
    <font>
      <b/>
      <sz val="9"/>
      <color theme="0"/>
      <name val="Calibri"/>
      <family val="2"/>
      <scheme val="minor"/>
    </font>
    <font>
      <b/>
      <sz val="8"/>
      <color theme="0"/>
      <name val="Calibri"/>
      <family val="2"/>
      <scheme val="minor"/>
    </font>
    <font>
      <sz val="8"/>
      <color theme="1"/>
      <name val="Calibri"/>
      <family val="2"/>
      <scheme val="minor"/>
    </font>
    <font>
      <sz val="9"/>
      <color rgb="FFFF0000"/>
      <name val="Calibri"/>
      <family val="2"/>
      <scheme val="minor"/>
    </font>
    <font>
      <sz val="12"/>
      <color indexed="10"/>
      <name val="Arial"/>
      <family val="2"/>
    </font>
    <font>
      <i/>
      <sz val="8"/>
      <color theme="1"/>
      <name val="Calibri"/>
      <family val="2"/>
      <scheme val="minor"/>
    </font>
    <font>
      <b/>
      <i/>
      <sz val="8"/>
      <color theme="1"/>
      <name val="Calibri"/>
      <family val="2"/>
      <scheme val="minor"/>
    </font>
    <font>
      <b/>
      <sz val="8"/>
      <color theme="1"/>
      <name val="KPN Sans"/>
      <family val="2"/>
    </font>
    <font>
      <sz val="8"/>
      <color rgb="FF000000"/>
      <name val="KPN Sans"/>
      <family val="2"/>
    </font>
    <font>
      <sz val="9"/>
      <color theme="1"/>
      <name val="KPN Sans"/>
      <family val="2"/>
    </font>
    <font>
      <sz val="9"/>
      <color rgb="FF000000"/>
      <name val="KPN Sans"/>
      <family val="2"/>
    </font>
    <font>
      <sz val="9"/>
      <color rgb="FFFF0000"/>
      <name val="KPN Sans"/>
      <family val="2"/>
    </font>
    <font>
      <sz val="12"/>
      <name val="Times New Roman"/>
      <family val="1"/>
    </font>
    <font>
      <b/>
      <sz val="10"/>
      <color theme="1"/>
      <name val="Arial"/>
      <family val="2"/>
    </font>
    <font>
      <sz val="10"/>
      <color indexed="48"/>
      <name val="Arial"/>
      <family val="2"/>
    </font>
    <font>
      <sz val="8"/>
      <color theme="1"/>
      <name val="Arial"/>
      <family val="2"/>
    </font>
    <font>
      <sz val="11"/>
      <color theme="1"/>
      <name val="Calibri"/>
      <family val="2"/>
    </font>
    <font>
      <i/>
      <sz val="9"/>
      <color rgb="FFFF0000"/>
      <name val="Calibri"/>
      <family val="2"/>
      <scheme val="minor"/>
    </font>
    <font>
      <b/>
      <i/>
      <sz val="9"/>
      <color rgb="FFFF0000"/>
      <name val="Arial"/>
      <family val="2"/>
    </font>
    <font>
      <i/>
      <sz val="9"/>
      <color rgb="FFFF0000"/>
      <name val="Arial"/>
      <family val="2"/>
    </font>
    <font>
      <sz val="11"/>
      <color rgb="FFFF0000"/>
      <name val="Calibri"/>
      <family val="2"/>
      <scheme val="minor"/>
    </font>
    <font>
      <b/>
      <i/>
      <sz val="10"/>
      <name val="Arial"/>
      <family val="2"/>
    </font>
    <font>
      <sz val="10"/>
      <color rgb="FF9933FF"/>
      <name val="Arial"/>
      <family val="2"/>
    </font>
    <font>
      <sz val="12"/>
      <color rgb="FF9933FF"/>
      <name val="Arial"/>
      <family val="2"/>
    </font>
    <font>
      <sz val="10"/>
      <color indexed="9"/>
      <name val="Arial"/>
      <family val="2"/>
    </font>
  </fonts>
  <fills count="149">
    <fill>
      <patternFill patternType="none"/>
    </fill>
    <fill>
      <patternFill patternType="gray125"/>
    </fill>
    <fill>
      <patternFill patternType="solid">
        <fgColor rgb="FFFFFFCC"/>
      </patternFill>
    </fill>
    <fill>
      <patternFill patternType="solid">
        <fgColor theme="0" tint="-0.249977111117893"/>
        <bgColor indexed="64"/>
      </patternFill>
    </fill>
    <fill>
      <patternFill patternType="solid">
        <fgColor rgb="FF99CCFF"/>
        <bgColor rgb="FF000000"/>
      </patternFill>
    </fill>
    <fill>
      <patternFill patternType="solid">
        <fgColor rgb="FFFFFF00"/>
        <bgColor indexed="64"/>
      </patternFill>
    </fill>
    <fill>
      <patternFill patternType="solid">
        <fgColor rgb="FFFF0000"/>
        <bgColor rgb="FF000000"/>
      </patternFill>
    </fill>
    <fill>
      <patternFill patternType="solid">
        <fgColor rgb="FF1F497D"/>
        <bgColor rgb="FF000000"/>
      </patternFill>
    </fill>
    <fill>
      <patternFill patternType="solid">
        <fgColor rgb="FFFFFFFF"/>
        <bgColor rgb="FF000000"/>
      </patternFill>
    </fill>
    <fill>
      <patternFill patternType="solid">
        <fgColor rgb="FFFFC000"/>
        <bgColor indexed="64"/>
      </patternFill>
    </fill>
    <fill>
      <patternFill patternType="solid">
        <fgColor rgb="FFFFFF99"/>
        <bgColor rgb="FF000000"/>
      </patternFill>
    </fill>
    <fill>
      <patternFill patternType="solid">
        <fgColor theme="3"/>
        <bgColor indexed="64"/>
      </patternFill>
    </fill>
    <fill>
      <patternFill patternType="solid">
        <fgColor indexed="43"/>
        <bgColor indexed="64"/>
      </patternFill>
    </fill>
    <fill>
      <patternFill patternType="solid">
        <fgColor indexed="9"/>
        <bgColor indexed="64"/>
      </patternFill>
    </fill>
    <fill>
      <patternFill patternType="solid">
        <fgColor indexed="44"/>
        <bgColor indexed="64"/>
      </patternFill>
    </fill>
    <fill>
      <patternFill patternType="solid">
        <fgColor indexed="41"/>
        <bgColor indexed="64"/>
      </patternFill>
    </fill>
    <fill>
      <patternFill patternType="solid">
        <fgColor indexed="12"/>
      </patternFill>
    </fill>
    <fill>
      <patternFill patternType="solid">
        <fgColor indexed="9"/>
      </patternFill>
    </fill>
    <fill>
      <patternFill patternType="solid">
        <fgColor indexed="47"/>
        <bgColor indexed="64"/>
      </patternFill>
    </fill>
    <fill>
      <patternFill patternType="solid">
        <fgColor indexed="22"/>
        <bgColor indexed="64"/>
      </patternFill>
    </fill>
    <fill>
      <patternFill patternType="solid">
        <fgColor indexed="26"/>
        <bgColor indexed="64"/>
      </patternFill>
    </fill>
    <fill>
      <patternFill patternType="solid">
        <fgColor indexed="15"/>
      </patternFill>
    </fill>
    <fill>
      <patternFill patternType="solid">
        <fgColor indexed="13"/>
        <bgColor indexed="15"/>
      </patternFill>
    </fill>
    <fill>
      <patternFill patternType="solid">
        <fgColor indexed="13"/>
        <bgColor indexed="64"/>
      </patternFill>
    </fill>
    <fill>
      <patternFill patternType="solid">
        <fgColor indexed="13"/>
      </patternFill>
    </fill>
    <fill>
      <patternFill patternType="solid">
        <fgColor indexed="17"/>
      </patternFill>
    </fill>
    <fill>
      <patternFill patternType="darkVertical"/>
    </fill>
    <fill>
      <patternFill patternType="solid">
        <fgColor indexed="43"/>
      </patternFill>
    </fill>
    <fill>
      <patternFill patternType="solid">
        <fgColor indexed="47"/>
      </patternFill>
    </fill>
    <fill>
      <patternFill patternType="solid">
        <fgColor indexed="31"/>
        <bgColor indexed="64"/>
      </patternFill>
    </fill>
    <fill>
      <patternFill patternType="solid">
        <fgColor indexed="16"/>
        <bgColor indexed="64"/>
      </patternFill>
    </fill>
    <fill>
      <patternFill patternType="solid">
        <fgColor indexed="8"/>
        <bgColor indexed="64"/>
      </patternFill>
    </fill>
    <fill>
      <patternFill patternType="solid">
        <fgColor theme="0"/>
        <bgColor indexed="64"/>
      </patternFill>
    </fill>
    <fill>
      <patternFill patternType="solid">
        <fgColor theme="9" tint="0.59999389629810485"/>
        <bgColor indexed="64"/>
      </patternFill>
    </fill>
    <fill>
      <patternFill patternType="solid">
        <fgColor theme="4" tint="0.79998168889431442"/>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rgb="FF00B0F0"/>
        <bgColor indexed="64"/>
      </patternFill>
    </fill>
    <fill>
      <patternFill patternType="solid">
        <fgColor indexed="42"/>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indexed="22"/>
      </patternFill>
    </fill>
    <fill>
      <patternFill patternType="solid">
        <fgColor indexed="46"/>
      </patternFill>
    </fill>
    <fill>
      <patternFill patternType="solid">
        <fgColor indexed="49"/>
      </patternFill>
    </fill>
    <fill>
      <patternFill patternType="solid">
        <fgColor indexed="61"/>
        <bgColor indexed="61"/>
      </patternFill>
    </fill>
    <fill>
      <patternFill patternType="solid">
        <fgColor indexed="44"/>
        <bgColor indexed="44"/>
      </patternFill>
    </fill>
    <fill>
      <patternFill patternType="solid">
        <fgColor indexed="22"/>
        <bgColor indexed="22"/>
      </patternFill>
    </fill>
    <fill>
      <patternFill patternType="solid">
        <fgColor indexed="54"/>
        <bgColor indexed="54"/>
      </patternFill>
    </fill>
    <fill>
      <patternFill patternType="solid">
        <fgColor indexed="58"/>
        <bgColor indexed="58"/>
      </patternFill>
    </fill>
    <fill>
      <patternFill patternType="solid">
        <fgColor indexed="24"/>
        <bgColor indexed="24"/>
      </patternFill>
    </fill>
    <fill>
      <patternFill patternType="solid">
        <fgColor indexed="48"/>
        <bgColor indexed="48"/>
      </patternFill>
    </fill>
    <fill>
      <patternFill patternType="solid">
        <fgColor indexed="31"/>
        <bgColor indexed="31"/>
      </patternFill>
    </fill>
    <fill>
      <patternFill patternType="solid">
        <fgColor indexed="15"/>
        <bgColor indexed="15"/>
      </patternFill>
    </fill>
    <fill>
      <patternFill patternType="solid">
        <fgColor indexed="40"/>
        <bgColor indexed="40"/>
      </patternFill>
    </fill>
    <fill>
      <patternFill patternType="solid">
        <fgColor indexed="45"/>
        <bgColor indexed="45"/>
      </patternFill>
    </fill>
    <fill>
      <patternFill patternType="solid">
        <fgColor indexed="55"/>
        <bgColor indexed="55"/>
      </patternFill>
    </fill>
    <fill>
      <patternFill patternType="solid">
        <fgColor indexed="25"/>
        <bgColor indexed="25"/>
      </patternFill>
    </fill>
    <fill>
      <patternFill patternType="solid">
        <fgColor indexed="60"/>
        <bgColor indexed="60"/>
      </patternFill>
    </fill>
    <fill>
      <patternFill patternType="solid">
        <fgColor indexed="41"/>
        <bgColor indexed="41"/>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18"/>
        <bgColor indexed="18"/>
      </patternFill>
    </fill>
    <fill>
      <patternFill patternType="solid">
        <fgColor indexed="54"/>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53"/>
        <bgColor indexed="53"/>
      </patternFill>
    </fill>
    <fill>
      <patternFill patternType="solid">
        <fgColor indexed="45"/>
      </patternFill>
    </fill>
    <fill>
      <patternFill patternType="solid">
        <fgColor indexed="35"/>
        <bgColor indexed="64"/>
      </patternFill>
    </fill>
    <fill>
      <patternFill patternType="solid">
        <fgColor indexed="28"/>
        <bgColor indexed="64"/>
      </patternFill>
    </fill>
    <fill>
      <patternFill patternType="solid">
        <fgColor indexed="38"/>
        <bgColor indexed="64"/>
      </patternFill>
    </fill>
    <fill>
      <patternFill patternType="solid">
        <fgColor indexed="35"/>
        <bgColor indexed="35"/>
      </patternFill>
    </fill>
    <fill>
      <patternFill patternType="solid">
        <fgColor indexed="50"/>
        <bgColor indexed="64"/>
      </patternFill>
    </fill>
    <fill>
      <patternFill patternType="solid">
        <fgColor indexed="24"/>
        <bgColor indexed="64"/>
      </patternFill>
    </fill>
    <fill>
      <patternFill patternType="solid">
        <fgColor indexed="25"/>
        <bgColor indexed="64"/>
      </patternFill>
    </fill>
    <fill>
      <patternFill patternType="solid">
        <fgColor indexed="27"/>
        <bgColor indexed="64"/>
      </patternFill>
    </fill>
    <fill>
      <patternFill patternType="solid">
        <fgColor indexed="29"/>
        <bgColor indexed="64"/>
      </patternFill>
    </fill>
    <fill>
      <patternFill patternType="solid">
        <fgColor indexed="30"/>
        <bgColor indexed="64"/>
      </patternFill>
    </fill>
    <fill>
      <patternFill patternType="gray0625">
        <fgColor indexed="15"/>
      </patternFill>
    </fill>
    <fill>
      <patternFill patternType="solid">
        <fgColor indexed="18"/>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57"/>
      </patternFill>
    </fill>
    <fill>
      <patternFill patternType="solid">
        <fgColor indexed="39"/>
        <bgColor indexed="64"/>
      </patternFill>
    </fill>
    <fill>
      <patternFill patternType="solid">
        <fgColor indexed="45"/>
        <bgColor indexed="64"/>
      </patternFill>
    </fill>
    <fill>
      <patternFill patternType="solid">
        <fgColor indexed="41"/>
        <bgColor indexed="15"/>
      </patternFill>
    </fill>
    <fill>
      <patternFill patternType="gray125">
        <fgColor indexed="13"/>
      </patternFill>
    </fill>
    <fill>
      <patternFill patternType="solid">
        <fgColor indexed="26"/>
      </patternFill>
    </fill>
    <fill>
      <patternFill patternType="solid">
        <fgColor indexed="51"/>
        <bgColor indexed="64"/>
      </patternFill>
    </fill>
    <fill>
      <patternFill patternType="mediumGray">
        <fgColor indexed="22"/>
      </patternFill>
    </fill>
    <fill>
      <patternFill patternType="solid">
        <fgColor indexed="10"/>
      </patternFill>
    </fill>
    <fill>
      <patternFill patternType="solid">
        <fgColor indexed="10"/>
        <bgColor indexed="64"/>
      </patternFill>
    </fill>
    <fill>
      <patternFill patternType="solid">
        <fgColor indexed="51"/>
      </patternFill>
    </fill>
    <fill>
      <patternFill patternType="solid">
        <fgColor indexed="52"/>
      </patternFill>
    </fill>
    <fill>
      <patternFill patternType="solid">
        <fgColor indexed="52"/>
        <bgColor indexed="64"/>
      </patternFill>
    </fill>
    <fill>
      <patternFill patternType="solid">
        <fgColor indexed="53"/>
      </patternFill>
    </fill>
    <fill>
      <patternFill patternType="solid">
        <fgColor indexed="53"/>
        <bgColor indexed="64"/>
      </patternFill>
    </fill>
    <fill>
      <patternFill patternType="solid">
        <fgColor indexed="57"/>
      </patternFill>
    </fill>
    <fill>
      <patternFill patternType="solid">
        <fgColor indexed="57"/>
        <bgColor indexed="64"/>
      </patternFill>
    </fill>
    <fill>
      <patternFill patternType="solid">
        <fgColor indexed="50"/>
      </patternFill>
    </fill>
    <fill>
      <patternFill patternType="solid">
        <fgColor indexed="11"/>
      </patternFill>
    </fill>
    <fill>
      <patternFill patternType="solid">
        <fgColor indexed="11"/>
        <bgColor indexed="64"/>
      </patternFill>
    </fill>
    <fill>
      <patternFill patternType="lightUp">
        <fgColor indexed="48"/>
        <bgColor indexed="41"/>
      </patternFill>
    </fill>
    <fill>
      <patternFill patternType="lightUp">
        <fgColor indexed="22"/>
        <bgColor indexed="35"/>
      </patternFill>
    </fill>
    <fill>
      <patternFill patternType="solid">
        <fgColor indexed="54"/>
        <bgColor indexed="64"/>
      </patternFill>
    </fill>
    <fill>
      <patternFill patternType="solid">
        <fgColor indexed="40"/>
      </patternFill>
    </fill>
    <fill>
      <patternFill patternType="solid">
        <fgColor indexed="41"/>
      </patternFill>
    </fill>
    <fill>
      <patternFill patternType="solid">
        <fgColor indexed="23"/>
        <bgColor indexed="64"/>
      </patternFill>
    </fill>
    <fill>
      <patternFill patternType="solid">
        <fgColor indexed="23"/>
      </patternFill>
    </fill>
    <fill>
      <patternFill patternType="solid">
        <fgColor indexed="55"/>
        <bgColor indexed="64"/>
      </patternFill>
    </fill>
    <fill>
      <patternFill patternType="solid">
        <fgColor indexed="44"/>
      </patternFill>
    </fill>
    <fill>
      <patternFill patternType="solid">
        <fgColor indexed="20"/>
      </patternFill>
    </fill>
    <fill>
      <patternFill patternType="solid">
        <fgColor indexed="32"/>
        <bgColor indexed="64"/>
      </patternFill>
    </fill>
    <fill>
      <patternFill patternType="solid">
        <fgColor rgb="FF92D050"/>
        <bgColor indexed="64"/>
      </patternFill>
    </fill>
    <fill>
      <patternFill patternType="solid">
        <fgColor theme="3" tint="0.79998168889431442"/>
        <bgColor indexed="64"/>
      </patternFill>
    </fill>
    <fill>
      <patternFill patternType="solid">
        <fgColor theme="7" tint="0.59999389629810485"/>
        <bgColor indexed="64"/>
      </patternFill>
    </fill>
    <fill>
      <patternFill patternType="solid">
        <fgColor rgb="FFFFC7CE"/>
      </patternFill>
    </fill>
    <fill>
      <patternFill patternType="solid">
        <fgColor rgb="FFF2F2F2"/>
      </patternFill>
    </fill>
    <fill>
      <patternFill patternType="solid">
        <fgColor rgb="FFA5A5A5"/>
      </patternFill>
    </fill>
    <fill>
      <patternFill patternType="solid">
        <fgColor theme="4" tint="0.59999389629810485"/>
        <bgColor indexed="65"/>
      </patternFill>
    </fill>
    <fill>
      <patternFill patternType="solid">
        <fgColor theme="7" tint="0.59999389629810485"/>
        <bgColor indexed="65"/>
      </patternFill>
    </fill>
    <fill>
      <patternFill patternType="solid">
        <fgColor theme="9" tint="0.59999389629810485"/>
        <bgColor indexed="65"/>
      </patternFill>
    </fill>
    <fill>
      <patternFill patternType="solid">
        <fgColor rgb="FFFFCC99"/>
      </patternFill>
    </fill>
    <fill>
      <patternFill patternType="solid">
        <fgColor indexed="31"/>
      </patternFill>
    </fill>
    <fill>
      <patternFill patternType="solid">
        <fgColor indexed="42"/>
      </patternFill>
    </fill>
    <fill>
      <patternFill patternType="solid">
        <fgColor indexed="27"/>
      </patternFill>
    </fill>
    <fill>
      <patternFill patternType="solid">
        <fgColor indexed="29"/>
      </patternFill>
    </fill>
    <fill>
      <patternFill patternType="solid">
        <fgColor indexed="30"/>
      </patternFill>
    </fill>
    <fill>
      <patternFill patternType="solid">
        <fgColor indexed="36"/>
      </patternFill>
    </fill>
    <fill>
      <patternFill patternType="solid">
        <fgColor indexed="62"/>
      </patternFill>
    </fill>
    <fill>
      <patternFill patternType="solid">
        <fgColor indexed="55"/>
      </patternFill>
    </fill>
    <fill>
      <patternFill patternType="lightUp">
        <fgColor indexed="9"/>
        <bgColor indexed="24"/>
      </patternFill>
    </fill>
    <fill>
      <patternFill patternType="lightUp">
        <fgColor indexed="9"/>
        <bgColor indexed="12"/>
      </patternFill>
    </fill>
    <fill>
      <patternFill patternType="gray0625"/>
    </fill>
    <fill>
      <patternFill patternType="gray125">
        <fgColor indexed="8"/>
      </patternFill>
    </fill>
    <fill>
      <patternFill patternType="solid">
        <fgColor theme="6"/>
        <bgColor indexed="64"/>
      </patternFill>
    </fill>
    <fill>
      <patternFill patternType="solid">
        <fgColor theme="1"/>
        <bgColor indexed="64"/>
      </patternFill>
    </fill>
    <fill>
      <patternFill patternType="solid">
        <fgColor rgb="FFFFFFFF"/>
        <bgColor indexed="64"/>
      </patternFill>
    </fill>
    <fill>
      <patternFill patternType="solid">
        <fgColor theme="7" tint="0.39997558519241921"/>
        <bgColor indexed="64"/>
      </patternFill>
    </fill>
    <fill>
      <patternFill patternType="solid">
        <fgColor theme="7" tint="0.59999389629810485"/>
        <bgColor rgb="FF000000"/>
      </patternFill>
    </fill>
  </fills>
  <borders count="157">
    <border>
      <left/>
      <right/>
      <top/>
      <bottom/>
      <diagonal/>
    </border>
    <border>
      <left style="thin">
        <color rgb="FFB2B2B2"/>
      </left>
      <right style="thin">
        <color rgb="FFB2B2B2"/>
      </right>
      <top style="thin">
        <color rgb="FFB2B2B2"/>
      </top>
      <bottom style="thin">
        <color rgb="FFB2B2B2"/>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right/>
      <top/>
      <bottom style="thin">
        <color rgb="FF00B0F0"/>
      </bottom>
      <diagonal/>
    </border>
    <border>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top/>
      <bottom style="dotted">
        <color indexed="64"/>
      </bottom>
      <diagonal/>
    </border>
    <border>
      <left/>
      <right/>
      <top style="medium">
        <color indexed="64"/>
      </top>
      <bottom style="medium">
        <color indexed="64"/>
      </bottom>
      <diagonal/>
    </border>
    <border>
      <left/>
      <right/>
      <top/>
      <bottom style="medium">
        <color indexed="64"/>
      </bottom>
      <diagonal/>
    </border>
    <border>
      <left style="thin">
        <color indexed="57"/>
      </left>
      <right style="thin">
        <color indexed="57"/>
      </right>
      <top style="thin">
        <color indexed="57"/>
      </top>
      <bottom style="thin">
        <color indexed="57"/>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medium">
        <color indexed="64"/>
      </top>
      <bottom style="medium">
        <color indexed="64"/>
      </bottom>
      <diagonal/>
    </border>
    <border>
      <left style="dotted">
        <color indexed="64"/>
      </left>
      <right style="dotted">
        <color indexed="64"/>
      </right>
      <top style="dotted">
        <color indexed="64"/>
      </top>
      <bottom style="dotted">
        <color indexed="64"/>
      </bottom>
      <diagonal/>
    </border>
    <border>
      <left style="medium">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indexed="64"/>
      </right>
      <top style="medium">
        <color indexed="64"/>
      </top>
      <bottom/>
      <diagonal/>
    </border>
    <border>
      <left/>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medium">
        <color indexed="64"/>
      </right>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bottom style="medium">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medium">
        <color indexed="64"/>
      </right>
      <top/>
      <bottom/>
      <diagonal/>
    </border>
    <border>
      <left style="medium">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style="thin">
        <color indexed="22"/>
      </left>
      <right style="thin">
        <color indexed="22"/>
      </right>
      <top style="thin">
        <color indexed="22"/>
      </top>
      <bottom style="thin">
        <color indexed="22"/>
      </bottom>
      <diagonal/>
    </border>
    <border>
      <left/>
      <right/>
      <top/>
      <bottom style="thick">
        <color indexed="64"/>
      </bottom>
      <diagonal/>
    </border>
    <border>
      <left style="hair">
        <color indexed="64"/>
      </left>
      <right/>
      <top style="hair">
        <color indexed="64"/>
      </top>
      <bottom style="hair">
        <color indexed="64"/>
      </bottom>
      <diagonal/>
    </border>
    <border>
      <left style="dashed">
        <color indexed="63"/>
      </left>
      <right style="dashed">
        <color indexed="63"/>
      </right>
      <top style="dashed">
        <color indexed="63"/>
      </top>
      <bottom style="dashed">
        <color indexed="63"/>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style="medium">
        <color indexed="9"/>
      </left>
      <right/>
      <top style="thin">
        <color indexed="64"/>
      </top>
      <bottom style="medium">
        <color indexed="9"/>
      </bottom>
      <diagonal/>
    </border>
    <border>
      <left/>
      <right/>
      <top/>
      <bottom style="medium">
        <color indexed="45"/>
      </bottom>
      <diagonal/>
    </border>
    <border>
      <left style="dotted">
        <color indexed="28"/>
      </left>
      <right style="dotted">
        <color indexed="28"/>
      </right>
      <top style="dotted">
        <color indexed="28"/>
      </top>
      <bottom style="dotted">
        <color indexed="28"/>
      </bottom>
      <diagonal/>
    </border>
    <border>
      <left/>
      <right/>
      <top style="thin">
        <color indexed="64"/>
      </top>
      <bottom style="double">
        <color indexed="64"/>
      </bottom>
      <diagonal/>
    </border>
    <border>
      <left style="thin">
        <color indexed="63"/>
      </left>
      <right style="thin">
        <color indexed="63"/>
      </right>
      <top style="thin">
        <color indexed="63"/>
      </top>
      <bottom style="thin">
        <color indexed="63"/>
      </bottom>
      <diagonal/>
    </border>
    <border>
      <left style="dashed">
        <color indexed="55"/>
      </left>
      <right style="dashed">
        <color indexed="55"/>
      </right>
      <top style="dashed">
        <color indexed="55"/>
      </top>
      <bottom style="dashed">
        <color indexed="55"/>
      </bottom>
      <diagonal/>
    </border>
    <border>
      <left/>
      <right/>
      <top/>
      <bottom style="thick">
        <color indexed="48"/>
      </bottom>
      <diagonal/>
    </border>
    <border>
      <left style="thin">
        <color indexed="9"/>
      </left>
      <right style="thin">
        <color indexed="9"/>
      </right>
      <top/>
      <bottom/>
      <diagonal/>
    </border>
    <border>
      <left style="thin">
        <color auto="1"/>
      </left>
      <right style="thin">
        <color auto="1"/>
      </right>
      <top/>
      <bottom/>
      <diagonal/>
    </border>
    <border>
      <left style="dashed">
        <color indexed="28"/>
      </left>
      <right style="dashed">
        <color indexed="28"/>
      </right>
      <top style="dashed">
        <color indexed="28"/>
      </top>
      <bottom style="dashed">
        <color indexed="28"/>
      </bottom>
      <diagonal/>
    </border>
    <border>
      <left/>
      <right/>
      <top/>
      <bottom style="double">
        <color indexed="17"/>
      </bottom>
      <diagonal/>
    </border>
    <border>
      <left style="medium">
        <color indexed="64"/>
      </left>
      <right style="dotted">
        <color indexed="64"/>
      </right>
      <top style="medium">
        <color indexed="64"/>
      </top>
      <bottom style="hair">
        <color indexed="64"/>
      </bottom>
      <diagonal/>
    </border>
    <border>
      <left style="dotted">
        <color indexed="10"/>
      </left>
      <right style="dotted">
        <color indexed="10"/>
      </right>
      <top style="dotted">
        <color indexed="10"/>
      </top>
      <bottom style="dotted">
        <color indexed="10"/>
      </bottom>
      <diagonal/>
    </border>
    <border>
      <left style="thin">
        <color indexed="55"/>
      </left>
      <right/>
      <top style="thin">
        <color indexed="55"/>
      </top>
      <bottom style="thin">
        <color indexed="55"/>
      </bottom>
      <diagonal/>
    </border>
    <border>
      <left style="thick">
        <color indexed="59"/>
      </left>
      <right/>
      <top/>
      <bottom/>
      <diagonal/>
    </border>
    <border>
      <left style="hair">
        <color indexed="64"/>
      </left>
      <right style="hair">
        <color indexed="64"/>
      </right>
      <top style="hair">
        <color indexed="64"/>
      </top>
      <bottom/>
      <diagonal/>
    </border>
    <border>
      <left style="thin">
        <color indexed="48"/>
      </left>
      <right style="thin">
        <color indexed="48"/>
      </right>
      <top style="thin">
        <color indexed="48"/>
      </top>
      <bottom style="thin">
        <color indexed="48"/>
      </bottom>
      <diagonal/>
    </border>
    <border>
      <left style="thin">
        <color indexed="8"/>
      </left>
      <right style="thin">
        <color indexed="8"/>
      </right>
      <top style="thin">
        <color indexed="8"/>
      </top>
      <bottom style="thin">
        <color indexed="8"/>
      </bottom>
      <diagonal/>
    </border>
    <border>
      <left style="thin">
        <color indexed="63"/>
      </left>
      <right style="thin">
        <color indexed="63"/>
      </right>
      <top style="thin">
        <color indexed="64"/>
      </top>
      <bottom style="thin">
        <color indexed="63"/>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right/>
      <top style="thin">
        <color indexed="48"/>
      </top>
      <bottom style="double">
        <color indexed="48"/>
      </bottom>
      <diagonal/>
    </border>
    <border>
      <left style="hair">
        <color indexed="64"/>
      </left>
      <right style="hair">
        <color indexed="64"/>
      </right>
      <top style="thin">
        <color indexed="64"/>
      </top>
      <bottom style="thin">
        <color indexed="64"/>
      </bottom>
      <diagonal/>
    </border>
    <border>
      <left style="thin">
        <color indexed="64"/>
      </left>
      <right/>
      <top/>
      <bottom/>
      <diagonal/>
    </border>
    <border>
      <left style="thin">
        <color indexed="64"/>
      </left>
      <right/>
      <top/>
      <bottom/>
      <diagonal/>
    </border>
    <border>
      <left style="thin">
        <color indexed="64"/>
      </left>
      <right/>
      <top/>
      <bottom/>
      <diagonal/>
    </border>
    <border>
      <left style="thin">
        <color indexed="64"/>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hair">
        <color indexed="64"/>
      </left>
      <right style="hair">
        <color indexed="64"/>
      </right>
      <top style="hair">
        <color indexed="64"/>
      </top>
      <bottom style="hair">
        <color indexed="64"/>
      </bottom>
      <diagonal/>
    </border>
    <border>
      <left/>
      <right/>
      <top style="thin">
        <color auto="1"/>
      </top>
      <bottom/>
      <diagonal/>
    </border>
    <border>
      <left/>
      <right/>
      <top/>
      <bottom style="thin">
        <color indexed="8"/>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4"/>
      </left>
      <right/>
      <top style="thin">
        <color indexed="64"/>
      </top>
      <bottom/>
      <diagonal/>
    </border>
    <border>
      <left style="thin">
        <color indexed="63"/>
      </left>
      <right style="thin">
        <color indexed="63"/>
      </right>
      <top style="thin">
        <color indexed="63"/>
      </top>
      <bottom style="thin">
        <color indexed="63"/>
      </bottom>
      <diagonal/>
    </border>
    <border>
      <left style="thin">
        <color indexed="63"/>
      </left>
      <right style="thin">
        <color indexed="63"/>
      </right>
      <top style="thin">
        <color indexed="64"/>
      </top>
      <bottom style="thin">
        <color indexed="63"/>
      </bottom>
      <diagonal/>
    </border>
    <border>
      <left style="thin">
        <color indexed="54"/>
      </left>
      <right/>
      <top style="thin">
        <color indexed="54"/>
      </top>
      <bottom/>
      <diagonal/>
    </border>
    <border>
      <left/>
      <right/>
      <top style="thin">
        <color indexed="62"/>
      </top>
      <bottom style="double">
        <color indexed="62"/>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medium">
        <color indexed="64"/>
      </top>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bottom style="hair">
        <color indexed="64"/>
      </bottom>
      <diagonal/>
    </border>
    <border>
      <left style="medium">
        <color indexed="64"/>
      </left>
      <right style="hair">
        <color indexed="64"/>
      </right>
      <top style="hair">
        <color indexed="64"/>
      </top>
      <bottom/>
      <diagonal/>
    </border>
    <border>
      <left/>
      <right style="hair">
        <color indexed="64"/>
      </right>
      <top style="hair">
        <color indexed="64"/>
      </top>
      <bottom/>
      <diagonal/>
    </border>
    <border>
      <left style="hair">
        <color indexed="64"/>
      </left>
      <right style="medium">
        <color indexed="64"/>
      </right>
      <top style="hair">
        <color indexed="64"/>
      </top>
      <bottom/>
      <diagonal/>
    </border>
    <border>
      <left style="medium">
        <color indexed="64"/>
      </left>
      <right style="hair">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medium">
        <color indexed="64"/>
      </left>
      <right style="dotted">
        <color auto="1"/>
      </right>
      <top style="medium">
        <color indexed="64"/>
      </top>
      <bottom style="dotted">
        <color auto="1"/>
      </bottom>
      <diagonal/>
    </border>
    <border>
      <left style="dotted">
        <color auto="1"/>
      </left>
      <right style="dotted">
        <color auto="1"/>
      </right>
      <top style="medium">
        <color indexed="64"/>
      </top>
      <bottom style="dotted">
        <color auto="1"/>
      </bottom>
      <diagonal/>
    </border>
    <border>
      <left style="dotted">
        <color auto="1"/>
      </left>
      <right style="medium">
        <color indexed="64"/>
      </right>
      <top style="medium">
        <color indexed="64"/>
      </top>
      <bottom style="dotted">
        <color auto="1"/>
      </bottom>
      <diagonal/>
    </border>
    <border>
      <left style="medium">
        <color indexed="64"/>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dotted">
        <color auto="1"/>
      </left>
      <right style="medium">
        <color indexed="64"/>
      </right>
      <top style="dotted">
        <color auto="1"/>
      </top>
      <bottom style="dotted">
        <color auto="1"/>
      </bottom>
      <diagonal/>
    </border>
    <border>
      <left style="medium">
        <color indexed="64"/>
      </left>
      <right style="dotted">
        <color auto="1"/>
      </right>
      <top style="dotted">
        <color auto="1"/>
      </top>
      <bottom style="medium">
        <color indexed="64"/>
      </bottom>
      <diagonal/>
    </border>
    <border>
      <left style="dotted">
        <color auto="1"/>
      </left>
      <right style="dotted">
        <color auto="1"/>
      </right>
      <top style="dotted">
        <color auto="1"/>
      </top>
      <bottom style="medium">
        <color indexed="64"/>
      </bottom>
      <diagonal/>
    </border>
    <border>
      <left style="dotted">
        <color auto="1"/>
      </left>
      <right style="medium">
        <color indexed="64"/>
      </right>
      <top style="dotted">
        <color auto="1"/>
      </top>
      <bottom style="medium">
        <color indexed="64"/>
      </bottom>
      <diagonal/>
    </border>
    <border>
      <left/>
      <right/>
      <top/>
      <bottom style="hair">
        <color indexed="64"/>
      </bottom>
      <diagonal/>
    </border>
    <border>
      <left style="medium">
        <color indexed="64"/>
      </left>
      <right/>
      <top style="hair">
        <color indexed="64"/>
      </top>
      <bottom style="hair">
        <color indexed="64"/>
      </bottom>
      <diagonal/>
    </border>
    <border>
      <left style="hair">
        <color indexed="64"/>
      </left>
      <right style="hair">
        <color indexed="64"/>
      </right>
      <top/>
      <bottom style="hair">
        <color indexed="64"/>
      </bottom>
      <diagonal/>
    </border>
    <border>
      <left style="medium">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right style="thin">
        <color auto="1"/>
      </right>
      <top style="thin">
        <color auto="1"/>
      </top>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s>
  <cellStyleXfs count="7329">
    <xf numFmtId="0" fontId="0"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9" fillId="0" borderId="0" applyNumberFormat="0" applyFont="0" applyFill="0" applyBorder="0" applyAlignment="0" applyProtection="0"/>
    <xf numFmtId="0" fontId="1" fillId="0" borderId="0"/>
    <xf numFmtId="0" fontId="11" fillId="0" borderId="0"/>
    <xf numFmtId="44" fontId="1" fillId="0" borderId="0" applyFont="0" applyFill="0" applyBorder="0" applyAlignment="0" applyProtection="0"/>
    <xf numFmtId="44" fontId="1" fillId="0" borderId="0" applyFont="0" applyFill="0" applyBorder="0" applyAlignment="0" applyProtection="0"/>
    <xf numFmtId="0" fontId="12" fillId="0" borderId="0"/>
    <xf numFmtId="0" fontId="9" fillId="0" borderId="0"/>
    <xf numFmtId="43" fontId="1" fillId="0" borderId="0" applyFont="0" applyFill="0" applyBorder="0" applyAlignment="0" applyProtection="0"/>
    <xf numFmtId="0" fontId="9" fillId="0" borderId="0" applyBorder="0"/>
    <xf numFmtId="0" fontId="9" fillId="0" borderId="0"/>
    <xf numFmtId="0" fontId="9" fillId="0" borderId="0" applyBorder="0"/>
    <xf numFmtId="0" fontId="15" fillId="0" borderId="0"/>
    <xf numFmtId="0" fontId="16"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3" fontId="9" fillId="0" borderId="0"/>
    <xf numFmtId="3" fontId="9"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9" fillId="0" borderId="0"/>
    <xf numFmtId="0" fontId="9" fillId="0" borderId="0"/>
    <xf numFmtId="0" fontId="18" fillId="0" borderId="0"/>
    <xf numFmtId="0" fontId="9" fillId="0" borderId="0"/>
    <xf numFmtId="0"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18" fillId="0" borderId="0"/>
    <xf numFmtId="0" fontId="18"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9" fillId="0" borderId="0" applyFill="0" applyBorder="0" applyProtection="0">
      <alignment vertical="center"/>
    </xf>
    <xf numFmtId="0" fontId="9" fillId="0" borderId="0" applyFill="0" applyBorder="0" applyProtection="0">
      <alignment vertical="center"/>
    </xf>
    <xf numFmtId="0" fontId="9" fillId="0" borderId="0" applyFill="0" applyBorder="0" applyProtection="0">
      <alignment vertical="center"/>
    </xf>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17" fillId="0" borderId="0" applyNumberFormat="0" applyFon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7" fillId="0" borderId="0" applyNumberFormat="0" applyFont="0" applyFill="0" applyBorder="0" applyAlignment="0" applyProtection="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15" fillId="0" borderId="0"/>
    <xf numFmtId="0" fontId="15" fillId="0" borderId="0"/>
    <xf numFmtId="0" fontId="17" fillId="0" borderId="0" applyNumberFormat="0" applyFont="0" applyFill="0" applyBorder="0" applyAlignment="0" applyProtection="0"/>
    <xf numFmtId="3" fontId="9" fillId="0" borderId="0"/>
    <xf numFmtId="3" fontId="9" fillId="0" borderId="0"/>
    <xf numFmtId="3" fontId="9" fillId="0" borderId="0"/>
    <xf numFmtId="3"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11" fillId="0" borderId="0"/>
    <xf numFmtId="0" fontId="18"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9" fillId="0" borderId="0"/>
    <xf numFmtId="0" fontId="9" fillId="0" borderId="0"/>
    <xf numFmtId="0" fontId="15" fillId="0" borderId="0"/>
    <xf numFmtId="0" fontId="15" fillId="0" borderId="0"/>
    <xf numFmtId="0" fontId="17" fillId="0" borderId="0" applyNumberFormat="0" applyFont="0" applyFill="0" applyBorder="0" applyAlignment="0" applyProtection="0"/>
    <xf numFmtId="0" fontId="18" fillId="0" borderId="0"/>
    <xf numFmtId="0" fontId="18" fillId="0" borderId="0"/>
    <xf numFmtId="0" fontId="9" fillId="0" borderId="0"/>
    <xf numFmtId="0" fontId="9" fillId="0" borderId="0"/>
    <xf numFmtId="0" fontId="9" fillId="0" borderId="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applyNumberFormat="0" applyFill="0" applyBorder="0" applyAlignment="0" applyProtection="0"/>
    <xf numFmtId="38" fontId="20" fillId="0" borderId="0" applyFont="0" applyFill="0" applyBorder="0" applyAlignment="0" applyProtection="0"/>
    <xf numFmtId="0" fontId="11"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21" fillId="0" borderId="0" applyFill="0" applyBorder="0" applyProtection="0">
      <alignment vertical="center"/>
    </xf>
    <xf numFmtId="0" fontId="21" fillId="0" borderId="0" applyFill="0" applyBorder="0" applyProtection="0">
      <alignment vertical="center"/>
    </xf>
    <xf numFmtId="0" fontId="21" fillId="0" borderId="0" applyFill="0" applyBorder="0" applyProtection="0">
      <alignment vertical="center"/>
    </xf>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0" fontId="9"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3" fontId="9" fillId="0" borderId="0"/>
    <xf numFmtId="3" fontId="9" fillId="0" borderId="0"/>
    <xf numFmtId="3" fontId="9" fillId="0" borderId="0"/>
    <xf numFmtId="3" fontId="9" fillId="0" borderId="0"/>
    <xf numFmtId="0" fontId="18" fillId="0" borderId="0"/>
    <xf numFmtId="0" fontId="18" fillId="0" borderId="0"/>
    <xf numFmtId="0" fontId="18" fillId="0" borderId="0"/>
    <xf numFmtId="0" fontId="9" fillId="0" borderId="0"/>
    <xf numFmtId="0" fontId="9" fillId="0" borderId="0"/>
    <xf numFmtId="0" fontId="15" fillId="0" borderId="0"/>
    <xf numFmtId="0" fontId="17" fillId="0" borderId="0" applyNumberFormat="0" applyFont="0" applyFill="0" applyBorder="0" applyAlignment="0" applyProtection="0"/>
    <xf numFmtId="0" fontId="18" fillId="0" borderId="0"/>
    <xf numFmtId="0" fontId="18"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18" fillId="0" borderId="0"/>
    <xf numFmtId="0" fontId="18"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9" fillId="13" borderId="0"/>
    <xf numFmtId="0" fontId="9" fillId="13" borderId="0"/>
    <xf numFmtId="0" fontId="18"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3" fontId="9" fillId="0" borderId="0"/>
    <xf numFmtId="3" fontId="9" fillId="0" borderId="0"/>
    <xf numFmtId="0" fontId="21" fillId="0" borderId="0" applyFill="0" applyBorder="0" applyProtection="0">
      <alignment vertical="center"/>
    </xf>
    <xf numFmtId="3" fontId="9" fillId="0" borderId="0"/>
    <xf numFmtId="3" fontId="9" fillId="0" borderId="0"/>
    <xf numFmtId="0" fontId="18" fillId="0" borderId="0"/>
    <xf numFmtId="0" fontId="18" fillId="0" borderId="0"/>
    <xf numFmtId="0" fontId="18" fillId="0" borderId="0"/>
    <xf numFmtId="0" fontId="18"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18" fillId="0" borderId="0"/>
    <xf numFmtId="0" fontId="18" fillId="0" borderId="0"/>
    <xf numFmtId="0" fontId="18" fillId="0" borderId="0"/>
    <xf numFmtId="0" fontId="18" fillId="0" borderId="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18" fillId="0" borderId="0">
      <protection locked="0"/>
    </xf>
    <xf numFmtId="0" fontId="22" fillId="0" borderId="0">
      <alignment horizontal="center" wrapText="1"/>
      <protection locked="0"/>
    </xf>
    <xf numFmtId="0" fontId="23" fillId="0" borderId="0"/>
    <xf numFmtId="0" fontId="16" fillId="0" borderId="0"/>
    <xf numFmtId="175" fontId="17" fillId="0" borderId="0" applyFill="0" applyBorder="0" applyAlignment="0"/>
    <xf numFmtId="3" fontId="25" fillId="0" borderId="0" applyFill="0" applyBorder="0" applyProtection="0"/>
    <xf numFmtId="2" fontId="26" fillId="14" borderId="9">
      <alignment horizontal="left" vertical="center"/>
    </xf>
    <xf numFmtId="176" fontId="27" fillId="0" borderId="0"/>
    <xf numFmtId="0" fontId="6" fillId="15" borderId="0" applyNumberFormat="0">
      <alignment horizontal="center" vertical="top" wrapText="1"/>
    </xf>
    <xf numFmtId="0" fontId="28" fillId="16" borderId="0">
      <alignment horizontal="left"/>
    </xf>
    <xf numFmtId="0" fontId="29" fillId="16" borderId="0">
      <alignment horizontal="right"/>
    </xf>
    <xf numFmtId="0" fontId="30" fillId="17" borderId="0">
      <alignment horizontal="center"/>
    </xf>
    <xf numFmtId="0" fontId="29" fillId="16" borderId="0">
      <alignment horizontal="right"/>
    </xf>
    <xf numFmtId="0" fontId="31" fillId="17" borderId="0">
      <alignment horizontal="left"/>
    </xf>
    <xf numFmtId="177" fontId="24" fillId="0" borderId="0" applyFont="0" applyFill="0" applyBorder="0" applyAlignment="0" applyProtection="0">
      <alignment horizontal="right"/>
    </xf>
    <xf numFmtId="178" fontId="24" fillId="0" borderId="0" applyFont="0" applyFill="0" applyBorder="0" applyAlignment="0" applyProtection="0"/>
    <xf numFmtId="179" fontId="24" fillId="0" borderId="0" applyFont="0" applyFill="0" applyBorder="0" applyAlignment="0" applyProtection="0">
      <alignment horizontal="right"/>
    </xf>
    <xf numFmtId="171" fontId="11" fillId="0" borderId="0" applyFont="0" applyFill="0" applyBorder="0" applyAlignment="0" applyProtection="0"/>
    <xf numFmtId="171" fontId="9" fillId="0" borderId="0" applyFont="0" applyFill="0" applyBorder="0" applyAlignment="0" applyProtection="0"/>
    <xf numFmtId="171" fontId="1" fillId="0" borderId="0" applyFont="0" applyFill="0" applyBorder="0" applyAlignment="0" applyProtection="0"/>
    <xf numFmtId="0" fontId="32" fillId="0" borderId="10" applyNumberFormat="0" applyBorder="0" applyAlignment="0">
      <alignment horizontal="center"/>
    </xf>
    <xf numFmtId="0" fontId="33" fillId="0" borderId="0" applyNumberFormat="0" applyAlignment="0">
      <alignment horizontal="left"/>
    </xf>
    <xf numFmtId="180" fontId="24" fillId="0" borderId="0" applyFont="0" applyFill="0" applyBorder="0" applyAlignment="0" applyProtection="0">
      <alignment horizontal="right"/>
    </xf>
    <xf numFmtId="181" fontId="24" fillId="0" borderId="0" applyFont="0" applyFill="0" applyBorder="0" applyAlignment="0" applyProtection="0">
      <alignment horizontal="right"/>
    </xf>
    <xf numFmtId="170" fontId="11" fillId="0" borderId="0" applyFont="0" applyFill="0" applyBorder="0" applyAlignment="0" applyProtection="0"/>
    <xf numFmtId="170" fontId="1" fillId="0" borderId="0" applyFont="0" applyFill="0" applyBorder="0" applyAlignment="0" applyProtection="0"/>
    <xf numFmtId="170" fontId="9" fillId="0" borderId="0" applyFont="0" applyFill="0" applyBorder="0" applyAlignment="0" applyProtection="0"/>
    <xf numFmtId="44" fontId="1" fillId="0" borderId="0" applyFont="0" applyFill="0" applyBorder="0" applyAlignment="0" applyProtection="0"/>
    <xf numFmtId="182" fontId="16" fillId="0" borderId="0" applyFont="0" applyFill="0" applyBorder="0">
      <alignment horizontal="right" vertical="center"/>
    </xf>
    <xf numFmtId="0" fontId="9" fillId="0" borderId="0" applyNumberFormat="0" applyFont="0" applyBorder="0" applyProtection="0">
      <alignment vertical="top"/>
      <protection locked="0"/>
    </xf>
    <xf numFmtId="0" fontId="9" fillId="0" borderId="0" applyNumberFormat="0" applyFont="0" applyBorder="0" applyProtection="0">
      <alignment vertical="top"/>
      <protection locked="0"/>
    </xf>
    <xf numFmtId="183" fontId="24" fillId="0" borderId="0" applyFont="0" applyFill="0" applyBorder="0" applyAlignment="0" applyProtection="0"/>
    <xf numFmtId="184" fontId="34" fillId="0" borderId="6">
      <alignment vertical="center" wrapText="1"/>
    </xf>
    <xf numFmtId="14" fontId="35" fillId="0" borderId="0" applyFont="0" applyFill="0" applyBorder="0" applyAlignment="0" applyProtection="0">
      <alignment vertical="center"/>
    </xf>
    <xf numFmtId="0" fontId="9" fillId="18" borderId="6" applyNumberFormat="0" applyFont="0" applyBorder="0" applyAlignment="0" applyProtection="0">
      <alignment horizontal="left" vertical="center"/>
    </xf>
    <xf numFmtId="185" fontId="24" fillId="0" borderId="11" applyNumberFormat="0" applyFont="0" applyFill="0" applyAlignment="0" applyProtection="0"/>
    <xf numFmtId="0" fontId="36" fillId="0" borderId="0" applyNumberFormat="0" applyAlignment="0">
      <alignment horizontal="left"/>
    </xf>
    <xf numFmtId="170" fontId="9" fillId="0" borderId="0" applyFont="0" applyFill="0" applyBorder="0" applyAlignment="0" applyProtection="0"/>
    <xf numFmtId="0" fontId="37" fillId="0" borderId="0" applyNumberFormat="0" applyFill="0" applyBorder="0" applyAlignment="0" applyProtection="0">
      <alignment vertical="top"/>
      <protection locked="0"/>
    </xf>
    <xf numFmtId="0" fontId="38" fillId="0" borderId="0" applyFill="0" applyBorder="0" applyProtection="0">
      <alignment horizontal="left"/>
    </xf>
    <xf numFmtId="186" fontId="21" fillId="18" borderId="6" applyFont="0" applyFill="0" applyBorder="0" applyAlignment="0" applyProtection="0">
      <alignment horizontal="right" vertical="center"/>
    </xf>
    <xf numFmtId="38" fontId="16" fillId="19" borderId="0" applyNumberFormat="0" applyBorder="0" applyAlignment="0" applyProtection="0"/>
    <xf numFmtId="187" fontId="24" fillId="0" borderId="0" applyFont="0" applyFill="0" applyBorder="0" applyAlignment="0" applyProtection="0">
      <alignment horizontal="right"/>
    </xf>
    <xf numFmtId="0" fontId="39" fillId="0" borderId="0" applyProtection="0">
      <alignment horizontal="right"/>
    </xf>
    <xf numFmtId="0" fontId="10" fillId="0" borderId="12" applyNumberFormat="0" applyAlignment="0" applyProtection="0">
      <alignment horizontal="left" vertical="center"/>
    </xf>
    <xf numFmtId="0" fontId="10" fillId="0" borderId="8">
      <alignment horizontal="left" vertical="center"/>
    </xf>
    <xf numFmtId="0" fontId="40" fillId="0" borderId="13">
      <alignment horizontal="center"/>
    </xf>
    <xf numFmtId="0" fontId="40" fillId="0" borderId="0">
      <alignment horizontal="center"/>
    </xf>
    <xf numFmtId="0" fontId="41" fillId="0" borderId="0" applyNumberFormat="0" applyBorder="0"/>
    <xf numFmtId="3" fontId="42" fillId="0" borderId="0"/>
    <xf numFmtId="10" fontId="16" fillId="20" borderId="6" applyNumberFormat="0" applyBorder="0" applyAlignment="0" applyProtection="0"/>
    <xf numFmtId="188" fontId="43" fillId="21" borderId="0"/>
    <xf numFmtId="189" fontId="44" fillId="22" borderId="14" applyNumberFormat="0" applyAlignment="0">
      <alignment vertical="center"/>
      <protection locked="0"/>
    </xf>
    <xf numFmtId="0" fontId="15" fillId="0" borderId="0"/>
    <xf numFmtId="171" fontId="11" fillId="0" borderId="0" applyFont="0" applyFill="0" applyBorder="0" applyAlignment="0" applyProtection="0"/>
    <xf numFmtId="171" fontId="45" fillId="0" borderId="0" applyFont="0" applyFill="0" applyBorder="0" applyAlignment="0" applyProtection="0"/>
    <xf numFmtId="43" fontId="1" fillId="0" borderId="0" applyFont="0" applyFill="0" applyBorder="0" applyAlignment="0" applyProtection="0"/>
    <xf numFmtId="171" fontId="9" fillId="0" borderId="0" applyFont="0" applyFill="0" applyBorder="0" applyAlignment="0" applyProtection="0"/>
    <xf numFmtId="0" fontId="18" fillId="0" borderId="0"/>
    <xf numFmtId="0" fontId="28" fillId="16" borderId="0">
      <alignment horizontal="left"/>
    </xf>
    <xf numFmtId="0" fontId="46" fillId="17" borderId="0">
      <alignment horizontal="left"/>
    </xf>
    <xf numFmtId="3" fontId="47" fillId="0" borderId="0"/>
    <xf numFmtId="188" fontId="48" fillId="16" borderId="0"/>
    <xf numFmtId="190" fontId="9" fillId="0" borderId="0" applyFont="0" applyFill="0" applyBorder="0" applyAlignment="0" applyProtection="0"/>
    <xf numFmtId="190" fontId="9" fillId="0" borderId="0" applyFont="0" applyFill="0" applyBorder="0" applyAlignment="0" applyProtection="0"/>
    <xf numFmtId="0" fontId="34" fillId="0" borderId="6" applyFill="0" applyBorder="0" applyProtection="0">
      <alignment vertical="center"/>
    </xf>
    <xf numFmtId="191" fontId="9" fillId="0" borderId="0" applyFont="0" applyFill="0" applyBorder="0" applyAlignment="0" applyProtection="0"/>
    <xf numFmtId="192"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3" fontId="9" fillId="0" borderId="0" applyFont="0" applyFill="0" applyBorder="0" applyAlignment="0" applyProtection="0"/>
    <xf numFmtId="194"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5" fontId="9" fillId="0" borderId="0" applyFont="0" applyFill="0" applyBorder="0" applyAlignment="0" applyProtection="0"/>
    <xf numFmtId="196" fontId="9" fillId="0" borderId="0" applyFont="0" applyFill="0" applyBorder="0" applyAlignment="0" applyProtection="0"/>
    <xf numFmtId="195" fontId="9" fillId="0" borderId="0" applyFont="0" applyFill="0" applyBorder="0" applyAlignment="0" applyProtection="0"/>
    <xf numFmtId="196"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7" fontId="9" fillId="0" borderId="0" applyFont="0" applyFill="0" applyBorder="0" applyAlignment="0" applyProtection="0"/>
    <xf numFmtId="197" fontId="9" fillId="0" borderId="0" applyFont="0" applyFill="0" applyBorder="0" applyAlignment="0" applyProtection="0"/>
    <xf numFmtId="197" fontId="9" fillId="0" borderId="0" applyFont="0" applyFill="0" applyBorder="0" applyAlignment="0" applyProtection="0"/>
    <xf numFmtId="197" fontId="9" fillId="0" borderId="0" applyFont="0" applyFill="0" applyBorder="0" applyAlignment="0" applyProtection="0"/>
    <xf numFmtId="10" fontId="9" fillId="0" borderId="0" applyFont="0" applyFill="0" applyProtection="0"/>
    <xf numFmtId="10" fontId="9" fillId="0" borderId="0" applyFont="0" applyFill="0" applyProtection="0"/>
    <xf numFmtId="10" fontId="9" fillId="0" borderId="0" applyFont="0" applyFill="0" applyProtection="0"/>
    <xf numFmtId="10" fontId="9" fillId="0" borderId="0" applyFont="0" applyFill="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8" fontId="9" fillId="0" borderId="0" applyFont="0" applyFill="0" applyBorder="0" applyAlignment="0" applyProtection="0"/>
    <xf numFmtId="0" fontId="9" fillId="0" borderId="0" applyFont="0" applyFill="0" applyBorder="0" applyAlignment="0" applyProtection="0"/>
    <xf numFmtId="19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6" fontId="9" fillId="0" borderId="0" applyFont="0" applyFill="0" applyBorder="0" applyAlignment="0" applyProtection="0"/>
    <xf numFmtId="196" fontId="9" fillId="0" borderId="0" applyFont="0" applyFill="0" applyBorder="0" applyAlignment="0" applyProtection="0"/>
    <xf numFmtId="196" fontId="9" fillId="0" borderId="0" applyFont="0" applyFill="0" applyBorder="0" applyAlignment="0" applyProtection="0"/>
    <xf numFmtId="196" fontId="9" fillId="0" borderId="0" applyFont="0" applyFill="0" applyBorder="0" applyAlignment="0" applyProtection="0"/>
    <xf numFmtId="12" fontId="9" fillId="0" borderId="0" applyFont="0" applyFill="0" applyProtection="0"/>
    <xf numFmtId="12" fontId="9" fillId="0" borderId="0" applyFont="0" applyFill="0" applyProtection="0"/>
    <xf numFmtId="12" fontId="9" fillId="0" borderId="0" applyFont="0" applyFill="0" applyProtection="0"/>
    <xf numFmtId="12" fontId="9" fillId="0" borderId="0" applyFont="0" applyFill="0" applyProtection="0"/>
    <xf numFmtId="199" fontId="24" fillId="0" borderId="0" applyFont="0" applyFill="0" applyBorder="0" applyAlignment="0" applyProtection="0">
      <alignment horizontal="right"/>
    </xf>
    <xf numFmtId="0" fontId="49" fillId="0" borderId="0" applyNumberFormat="0" applyAlignment="0">
      <alignment vertical="center"/>
    </xf>
    <xf numFmtId="49" fontId="9" fillId="0" borderId="6"/>
    <xf numFmtId="0" fontId="34" fillId="23" borderId="6" applyNumberFormat="0" applyFont="0" applyBorder="0" applyAlignment="0" applyProtection="0">
      <alignment vertical="center"/>
    </xf>
    <xf numFmtId="37" fontId="50" fillId="0" borderId="0"/>
    <xf numFmtId="200" fontId="9" fillId="0" borderId="0"/>
    <xf numFmtId="200" fontId="9" fillId="0" borderId="0"/>
    <xf numFmtId="37" fontId="51" fillId="0" borderId="0" applyAlignment="0"/>
    <xf numFmtId="0" fontId="11" fillId="0" borderId="0"/>
    <xf numFmtId="0" fontId="1" fillId="0" borderId="0"/>
    <xf numFmtId="0" fontId="11" fillId="0" borderId="0"/>
    <xf numFmtId="0" fontId="9" fillId="0" borderId="0"/>
    <xf numFmtId="0" fontId="52" fillId="0" borderId="0"/>
    <xf numFmtId="0" fontId="52" fillId="0" borderId="0"/>
    <xf numFmtId="0" fontId="9" fillId="0" borderId="0" applyBorder="0"/>
    <xf numFmtId="37" fontId="22" fillId="0" borderId="0" applyNumberFormat="0" applyFill="0" applyAlignment="0"/>
    <xf numFmtId="0" fontId="1" fillId="2" borderId="1" applyNumberFormat="0" applyFont="0" applyAlignment="0" applyProtection="0"/>
    <xf numFmtId="4" fontId="53" fillId="0" borderId="15" applyNumberFormat="0" applyFont="0" applyFill="0" applyBorder="0" applyAlignment="0"/>
    <xf numFmtId="40" fontId="54" fillId="13" borderId="0">
      <alignment horizontal="right"/>
    </xf>
    <xf numFmtId="0" fontId="55" fillId="24" borderId="0">
      <alignment horizontal="center"/>
    </xf>
    <xf numFmtId="0" fontId="56" fillId="13" borderId="16"/>
    <xf numFmtId="0" fontId="57" fillId="17" borderId="0" applyBorder="0">
      <alignment horizontal="centerContinuous"/>
    </xf>
    <xf numFmtId="0" fontId="58" fillId="25" borderId="0" applyBorder="0">
      <alignment horizontal="centerContinuous"/>
    </xf>
    <xf numFmtId="0" fontId="59" fillId="0" borderId="6" applyFill="0" applyProtection="0">
      <alignment vertical="center" wrapText="1"/>
      <protection locked="0"/>
    </xf>
    <xf numFmtId="1" fontId="60" fillId="0" borderId="0" applyProtection="0">
      <alignment horizontal="right" vertical="center"/>
    </xf>
    <xf numFmtId="14" fontId="22" fillId="0" borderId="0">
      <alignment horizontal="center" wrapText="1"/>
      <protection locked="0"/>
    </xf>
    <xf numFmtId="10" fontId="9" fillId="0" borderId="0" applyFont="0" applyFill="0" applyBorder="0" applyAlignment="0" applyProtection="0"/>
    <xf numFmtId="10" fontId="9"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201" fontId="44" fillId="0" borderId="0" applyFont="0" applyFill="0" applyBorder="0" applyAlignment="0" applyProtection="0">
      <alignment vertical="center"/>
    </xf>
    <xf numFmtId="13" fontId="9" fillId="0" borderId="0" applyFont="0" applyFill="0" applyProtection="0"/>
    <xf numFmtId="0" fontId="61" fillId="15" borderId="6" applyNumberFormat="0" applyFont="0" applyBorder="0" applyAlignment="0" applyProtection="0">
      <alignment horizontal="center" vertical="center"/>
    </xf>
    <xf numFmtId="9" fontId="11"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9" fillId="0" borderId="0" applyFont="0" applyFill="0" applyBorder="0" applyAlignment="0" applyProtection="0"/>
    <xf numFmtId="37" fontId="9" fillId="0" borderId="0" applyFont="0" applyFill="0" applyBorder="0" applyAlignment="0" applyProtection="0"/>
    <xf numFmtId="37" fontId="9" fillId="0" borderId="0" applyFont="0" applyFill="0" applyBorder="0" applyAlignment="0" applyProtection="0"/>
    <xf numFmtId="3" fontId="62" fillId="0" borderId="0" applyFill="0" applyBorder="0" applyProtection="0"/>
    <xf numFmtId="0" fontId="63" fillId="26" borderId="0" applyNumberFormat="0" applyFont="0" applyBorder="0" applyAlignment="0">
      <alignment horizontal="center"/>
    </xf>
    <xf numFmtId="0" fontId="64" fillId="0" borderId="6" applyProtection="0">
      <alignment vertical="center"/>
    </xf>
    <xf numFmtId="0" fontId="61" fillId="0" borderId="6" applyFill="0" applyBorder="0" applyProtection="0">
      <alignment horizontal="left" vertical="center"/>
    </xf>
    <xf numFmtId="0" fontId="46" fillId="27" borderId="0">
      <alignment horizontal="center"/>
    </xf>
    <xf numFmtId="49" fontId="65" fillId="17" borderId="0">
      <alignment horizontal="center"/>
    </xf>
    <xf numFmtId="202" fontId="66" fillId="0" borderId="0" applyNumberFormat="0" applyFill="0" applyBorder="0" applyAlignment="0" applyProtection="0">
      <alignment horizontal="left"/>
    </xf>
    <xf numFmtId="0" fontId="29" fillId="16" borderId="0">
      <alignment horizontal="center"/>
    </xf>
    <xf numFmtId="0" fontId="29" fillId="16" borderId="0">
      <alignment horizontal="centerContinuous"/>
    </xf>
    <xf numFmtId="0" fontId="67" fillId="17" borderId="0">
      <alignment horizontal="left"/>
    </xf>
    <xf numFmtId="49" fontId="67" fillId="17" borderId="0">
      <alignment horizontal="center"/>
    </xf>
    <xf numFmtId="0" fontId="28" fillId="16" borderId="0">
      <alignment horizontal="left"/>
    </xf>
    <xf numFmtId="49" fontId="67" fillId="17" borderId="0">
      <alignment horizontal="left"/>
    </xf>
    <xf numFmtId="0" fontId="28" fillId="16" borderId="0">
      <alignment horizontal="centerContinuous"/>
    </xf>
    <xf numFmtId="0" fontId="28" fillId="16" borderId="0">
      <alignment horizontal="right"/>
    </xf>
    <xf numFmtId="49" fontId="46" fillId="17" borderId="0">
      <alignment horizontal="left"/>
    </xf>
    <xf numFmtId="0" fontId="29" fillId="16" borderId="0">
      <alignment horizontal="right"/>
    </xf>
    <xf numFmtId="0" fontId="9" fillId="0" borderId="0" applyNumberFormat="0" applyFill="0" applyBorder="0" applyAlignment="0" applyProtection="0"/>
    <xf numFmtId="0" fontId="67" fillId="28" borderId="0">
      <alignment horizontal="center"/>
    </xf>
    <xf numFmtId="0" fontId="68" fillId="28" borderId="0">
      <alignment horizontal="center"/>
    </xf>
    <xf numFmtId="0" fontId="69" fillId="29" borderId="17">
      <alignment vertical="center"/>
    </xf>
    <xf numFmtId="0" fontId="70" fillId="29" borderId="17" applyProtection="0">
      <alignment vertical="center"/>
    </xf>
    <xf numFmtId="0" fontId="63" fillId="1" borderId="8" applyNumberFormat="0" applyFont="0" applyAlignment="0">
      <alignment horizontal="center"/>
    </xf>
    <xf numFmtId="3" fontId="16" fillId="0" borderId="0"/>
    <xf numFmtId="0" fontId="71" fillId="0" borderId="0" applyNumberFormat="0" applyFill="0" applyBorder="0" applyAlignment="0">
      <alignment horizontal="center"/>
    </xf>
    <xf numFmtId="1" fontId="51" fillId="0" borderId="0" applyBorder="0">
      <alignment horizontal="left" vertical="top" wrapText="1"/>
    </xf>
    <xf numFmtId="0" fontId="9" fillId="0" borderId="0"/>
    <xf numFmtId="0" fontId="45" fillId="0" borderId="0"/>
    <xf numFmtId="0" fontId="1" fillId="0" borderId="0"/>
    <xf numFmtId="0" fontId="9" fillId="0" borderId="0"/>
    <xf numFmtId="188" fontId="51" fillId="17" borderId="0"/>
    <xf numFmtId="0" fontId="9" fillId="0" borderId="0"/>
    <xf numFmtId="0" fontId="18" fillId="0" borderId="0"/>
    <xf numFmtId="3" fontId="72" fillId="0" borderId="0" applyNumberFormat="0" applyFill="0" applyBorder="0" applyAlignment="0" applyProtection="0">
      <alignment vertical="center"/>
    </xf>
    <xf numFmtId="3" fontId="73" fillId="0" borderId="0" applyNumberFormat="0" applyAlignment="0">
      <alignment horizontal="right"/>
    </xf>
    <xf numFmtId="40" fontId="74" fillId="0" borderId="0" applyBorder="0">
      <alignment horizontal="right"/>
    </xf>
    <xf numFmtId="0" fontId="75" fillId="0" borderId="0" applyBorder="0" applyProtection="0">
      <alignment vertical="center"/>
    </xf>
    <xf numFmtId="185" fontId="75" fillId="0" borderId="4" applyBorder="0" applyProtection="0">
      <alignment horizontal="right" vertical="center"/>
    </xf>
    <xf numFmtId="0" fontId="76" fillId="30" borderId="0" applyBorder="0" applyProtection="0">
      <alignment horizontal="centerContinuous" vertical="center"/>
    </xf>
    <xf numFmtId="0" fontId="76" fillId="31" borderId="4" applyBorder="0" applyProtection="0">
      <alignment horizontal="centerContinuous" vertical="center"/>
    </xf>
    <xf numFmtId="3" fontId="6" fillId="0" borderId="0" applyNumberFormat="0"/>
    <xf numFmtId="0" fontId="77" fillId="0" borderId="0" applyFill="0" applyBorder="0" applyProtection="0">
      <alignment horizontal="left"/>
    </xf>
    <xf numFmtId="0" fontId="38" fillId="0" borderId="9" applyFill="0" applyBorder="0" applyProtection="0">
      <alignment horizontal="left" vertical="top"/>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0" fontId="21" fillId="0" borderId="6" applyProtection="0">
      <alignment horizontal="right" vertical="center"/>
    </xf>
    <xf numFmtId="3" fontId="78" fillId="0" borderId="0"/>
    <xf numFmtId="1" fontId="2" fillId="0" borderId="18" applyNumberFormat="0" applyProtection="0">
      <alignment horizontal="left" vertical="center"/>
    </xf>
    <xf numFmtId="0" fontId="6" fillId="0" borderId="8">
      <alignment horizontal="right" wrapText="1"/>
    </xf>
    <xf numFmtId="0" fontId="79" fillId="17" borderId="0">
      <alignment horizontal="center"/>
    </xf>
    <xf numFmtId="170" fontId="11" fillId="0" borderId="0" applyFont="0" applyFill="0" applyBorder="0" applyAlignment="0" applyProtection="0"/>
    <xf numFmtId="170" fontId="9" fillId="0" borderId="0" applyFont="0" applyFill="0" applyBorder="0" applyAlignment="0" applyProtection="0"/>
    <xf numFmtId="203" fontId="80" fillId="0" borderId="4" applyBorder="0" applyProtection="0">
      <alignment horizontal="right"/>
    </xf>
    <xf numFmtId="4" fontId="16" fillId="20" borderId="19"/>
    <xf numFmtId="0" fontId="17" fillId="0" borderId="0"/>
    <xf numFmtId="0" fontId="9" fillId="0" borderId="0"/>
    <xf numFmtId="0" fontId="9" fillId="0" borderId="0"/>
    <xf numFmtId="0" fontId="9" fillId="0" borderId="0"/>
    <xf numFmtId="0" fontId="9" fillId="0" borderId="0"/>
    <xf numFmtId="0" fontId="9" fillId="0" borderId="0"/>
    <xf numFmtId="0" fontId="18" fillId="0" borderId="0"/>
    <xf numFmtId="0" fontId="11" fillId="0" borderId="0"/>
    <xf numFmtId="0" fontId="9" fillId="0" borderId="0"/>
    <xf numFmtId="0" fontId="9" fillId="0" borderId="0"/>
    <xf numFmtId="0" fontId="11" fillId="0" borderId="0"/>
    <xf numFmtId="0" fontId="15" fillId="0" borderId="0"/>
    <xf numFmtId="0" fontId="18" fillId="0" borderId="0"/>
    <xf numFmtId="0" fontId="18" fillId="0" borderId="0"/>
    <xf numFmtId="0" fontId="9" fillId="0" borderId="0"/>
    <xf numFmtId="0" fontId="9" fillId="0" borderId="0"/>
    <xf numFmtId="0" fontId="9" fillId="0" borderId="0"/>
    <xf numFmtId="0" fontId="9" fillId="0" borderId="0"/>
    <xf numFmtId="0" fontId="11"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11" fillId="0" borderId="0"/>
    <xf numFmtId="0" fontId="9" fillId="0" borderId="0"/>
    <xf numFmtId="0" fontId="9" fillId="0" borderId="0" applyBorder="0"/>
    <xf numFmtId="0" fontId="9" fillId="0" borderId="0" applyNumberFormat="0" applyFill="0" applyBorder="0" applyAlignment="0" applyProtection="0"/>
    <xf numFmtId="0" fontId="9" fillId="0" borderId="0"/>
    <xf numFmtId="0" fontId="9" fillId="0" borderId="0" applyNumberFormat="0" applyFill="0" applyBorder="0" applyAlignment="0" applyProtection="0"/>
    <xf numFmtId="0" fontId="15"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NumberFormat="0" applyFill="0" applyBorder="0" applyAlignment="0" applyProtection="0"/>
    <xf numFmtId="0" fontId="18" fillId="0" borderId="0"/>
    <xf numFmtId="0" fontId="18" fillId="0" borderId="0"/>
    <xf numFmtId="0" fontId="9" fillId="0" borderId="0"/>
    <xf numFmtId="0" fontId="9" fillId="0" borderId="0"/>
    <xf numFmtId="0" fontId="9" fillId="0" borderId="0"/>
    <xf numFmtId="0" fontId="9" fillId="0" borderId="0"/>
    <xf numFmtId="0" fontId="9" fillId="0" borderId="0"/>
    <xf numFmtId="0" fontId="11"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100" fillId="0" borderId="0"/>
    <xf numFmtId="0" fontId="9" fillId="0" borderId="0" applyNumberForma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18" fillId="0" borderId="0"/>
    <xf numFmtId="3" fontId="9" fillId="0" borderId="0"/>
    <xf numFmtId="3" fontId="9" fillId="0" borderId="0"/>
    <xf numFmtId="0" fontId="9" fillId="0" borderId="0" applyNumberFormat="0" applyFill="0" applyBorder="0" applyAlignment="0" applyProtection="0"/>
    <xf numFmtId="0" fontId="9" fillId="0" borderId="0" applyNumberFormat="0" applyFill="0" applyBorder="0" applyAlignment="0" applyProtection="0"/>
    <xf numFmtId="0" fontId="11" fillId="0" borderId="0"/>
    <xf numFmtId="0" fontId="11"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11"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18" fillId="0" borderId="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xf numFmtId="0" fontId="9" fillId="0" borderId="0"/>
    <xf numFmtId="0" fontId="9" fillId="0" borderId="0"/>
    <xf numFmtId="0" fontId="9" fillId="0" borderId="0"/>
    <xf numFmtId="0" fontId="18" fillId="0" borderId="0"/>
    <xf numFmtId="0" fontId="15" fillId="0" borderId="0"/>
    <xf numFmtId="0" fontId="15"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1" fillId="0" borderId="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0" fontId="9" fillId="0" borderId="0"/>
    <xf numFmtId="0" fontId="11" fillId="0" borderId="0"/>
    <xf numFmtId="0" fontId="11" fillId="0" borderId="0"/>
    <xf numFmtId="0" fontId="9" fillId="0" borderId="0"/>
    <xf numFmtId="0" fontId="11" fillId="0" borderId="0"/>
    <xf numFmtId="0" fontId="11" fillId="0" borderId="0"/>
    <xf numFmtId="0" fontId="11" fillId="0" borderId="0"/>
    <xf numFmtId="0" fontId="101"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15" fillId="0" borderId="0"/>
    <xf numFmtId="3" fontId="9" fillId="0" borderId="0"/>
    <xf numFmtId="3" fontId="9" fillId="0" borderId="0"/>
    <xf numFmtId="0" fontId="17" fillId="0" borderId="0" applyNumberFormat="0" applyFont="0" applyFill="0" applyBorder="0" applyAlignment="0" applyProtection="0"/>
    <xf numFmtId="0" fontId="15" fillId="0" borderId="0"/>
    <xf numFmtId="0" fontId="15"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2"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applyFill="0" applyBorder="0" applyAlignment="0" applyProtection="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3" fillId="0" borderId="0" applyNumberFormat="0" applyFill="0" applyBorder="0" applyAlignment="0" applyProtection="0"/>
    <xf numFmtId="0" fontId="11" fillId="0" borderId="0"/>
    <xf numFmtId="0" fontId="15"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11"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18" fillId="0" borderId="0"/>
    <xf numFmtId="0" fontId="18" fillId="0" borderId="0"/>
    <xf numFmtId="0" fontId="18"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18" fillId="0" borderId="0"/>
    <xf numFmtId="0" fontId="15" fillId="0" borderId="0"/>
    <xf numFmtId="0" fontId="18" fillId="0" borderId="0"/>
    <xf numFmtId="0" fontId="18" fillId="0" borderId="0"/>
    <xf numFmtId="0" fontId="9" fillId="0" borderId="0"/>
    <xf numFmtId="0" fontId="9" fillId="0" borderId="0"/>
    <xf numFmtId="0" fontId="15" fillId="0" borderId="0"/>
    <xf numFmtId="0" fontId="18" fillId="0" borderId="0"/>
    <xf numFmtId="0" fontId="11"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11"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11" fillId="0" borderId="0"/>
    <xf numFmtId="0" fontId="11" fillId="0" borderId="0"/>
    <xf numFmtId="0" fontId="11" fillId="0" borderId="0"/>
    <xf numFmtId="0" fontId="11"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Font="0" applyFill="0" applyBorder="0" applyAlignment="0" applyProtection="0"/>
    <xf numFmtId="0" fontId="17" fillId="0" borderId="0" applyNumberFormat="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applyFill="0" applyBorder="0" applyProtection="0">
      <alignment vertical="center"/>
    </xf>
    <xf numFmtId="0" fontId="9" fillId="0" borderId="0" applyFill="0" applyBorder="0" applyProtection="0">
      <alignment vertical="center"/>
    </xf>
    <xf numFmtId="0" fontId="15"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11" fillId="0" borderId="0"/>
    <xf numFmtId="0" fontId="9" fillId="0" borderId="0"/>
    <xf numFmtId="0" fontId="9" fillId="0" borderId="0"/>
    <xf numFmtId="0" fontId="9" fillId="0" borderId="0"/>
    <xf numFmtId="0" fontId="101" fillId="0" borderId="0"/>
    <xf numFmtId="0" fontId="9" fillId="0" borderId="0"/>
    <xf numFmtId="0" fontId="9" fillId="0" borderId="0" applyNumberForma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18"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104" fillId="0" borderId="0"/>
    <xf numFmtId="0" fontId="104" fillId="0" borderId="0"/>
    <xf numFmtId="0" fontId="104" fillId="0" borderId="0"/>
    <xf numFmtId="0" fontId="104"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11" fillId="0" borderId="0"/>
    <xf numFmtId="0" fontId="11"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8" fillId="0" borderId="0"/>
    <xf numFmtId="0" fontId="11" fillId="0" borderId="0"/>
    <xf numFmtId="0" fontId="11" fillId="0" borderId="0"/>
    <xf numFmtId="0" fontId="18" fillId="0" borderId="0"/>
    <xf numFmtId="0" fontId="105" fillId="0" borderId="0"/>
    <xf numFmtId="0" fontId="10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103"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9" fillId="0" borderId="0"/>
    <xf numFmtId="0" fontId="9" fillId="0" borderId="0"/>
    <xf numFmtId="0" fontId="18" fillId="0" borderId="0"/>
    <xf numFmtId="0" fontId="15"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xf numFmtId="0" fontId="17" fillId="0" borderId="0"/>
    <xf numFmtId="0" fontId="101"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3" fontId="9" fillId="0" borderId="0"/>
    <xf numFmtId="3" fontId="9" fillId="0" borderId="0"/>
    <xf numFmtId="0" fontId="9" fillId="0" borderId="0"/>
    <xf numFmtId="0" fontId="9" fillId="0" borderId="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xf numFmtId="0"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xf numFmtId="0" fontId="9" fillId="0" borderId="0"/>
    <xf numFmtId="38" fontId="20" fillId="0" borderId="0" applyFont="0" applyFill="0" applyBorder="0" applyAlignment="0" applyProtection="0"/>
    <xf numFmtId="38" fontId="20" fillId="0" borderId="0" applyFont="0" applyFill="0" applyBorder="0" applyAlignment="0" applyProtection="0"/>
    <xf numFmtId="0" fontId="11" fillId="0" borderId="0"/>
    <xf numFmtId="0" fontId="11" fillId="0" borderId="0"/>
    <xf numFmtId="0" fontId="11" fillId="0" borderId="0"/>
    <xf numFmtId="0" fontId="9" fillId="0" borderId="0"/>
    <xf numFmtId="0" fontId="9" fillId="0" borderId="0"/>
    <xf numFmtId="0" fontId="9" fillId="0" borderId="0"/>
    <xf numFmtId="0" fontId="15"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15"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18"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17" fillId="0" borderId="0" applyNumberFormat="0" applyFont="0" applyFill="0" applyBorder="0" applyAlignment="0" applyProtection="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18" fillId="0" borderId="0"/>
    <xf numFmtId="0" fontId="18" fillId="0" borderId="0"/>
    <xf numFmtId="0" fontId="18" fillId="0" borderId="0"/>
    <xf numFmtId="0" fontId="9" fillId="0" borderId="0"/>
    <xf numFmtId="0" fontId="9" fillId="0" borderId="0"/>
    <xf numFmtId="0" fontId="15" fillId="0" borderId="0"/>
    <xf numFmtId="0" fontId="15" fillId="0" borderId="0"/>
    <xf numFmtId="0" fontId="11"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1" fillId="0" borderId="0"/>
    <xf numFmtId="0" fontId="101" fillId="0" borderId="0"/>
    <xf numFmtId="0" fontId="9" fillId="0" borderId="0" applyNumberFormat="0" applyFill="0" applyBorder="0" applyAlignment="0" applyProtection="0"/>
    <xf numFmtId="0" fontId="9" fillId="0" borderId="0" applyNumberFormat="0" applyFill="0" applyBorder="0" applyAlignment="0" applyProtection="0"/>
    <xf numFmtId="0" fontId="10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3" fontId="44" fillId="0" borderId="0"/>
    <xf numFmtId="0" fontId="18"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13" borderId="0"/>
    <xf numFmtId="0" fontId="9" fillId="13"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11" fillId="0" borderId="0"/>
    <xf numFmtId="0" fontId="17" fillId="0" borderId="0"/>
    <xf numFmtId="0" fontId="17" fillId="0" borderId="0"/>
    <xf numFmtId="0" fontId="17" fillId="0" borderId="0"/>
    <xf numFmtId="0" fontId="17" fillId="0" borderId="0"/>
    <xf numFmtId="0" fontId="17" fillId="0" borderId="0"/>
    <xf numFmtId="0" fontId="17"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1"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applyNumberFormat="0" applyFill="0" applyBorder="0" applyAlignment="0" applyProtection="0"/>
    <xf numFmtId="0" fontId="11" fillId="0" borderId="0"/>
    <xf numFmtId="0" fontId="103" fillId="0" borderId="0" applyNumberFormat="0" applyFill="0" applyBorder="0" applyAlignment="0" applyProtection="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11" fillId="0" borderId="0"/>
    <xf numFmtId="0" fontId="11" fillId="0" borderId="0"/>
    <xf numFmtId="0" fontId="11" fillId="0" borderId="0"/>
    <xf numFmtId="3" fontId="9" fillId="0" borderId="0"/>
    <xf numFmtId="3" fontId="9" fillId="0" borderId="0"/>
    <xf numFmtId="0" fontId="11" fillId="0" borderId="0"/>
    <xf numFmtId="0" fontId="18"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applyNumberFormat="0" applyFill="0" applyBorder="0" applyAlignment="0" applyProtection="0"/>
    <xf numFmtId="0"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0" fontId="11" fillId="0" borderId="0"/>
    <xf numFmtId="0" fontId="11" fillId="0" borderId="0"/>
    <xf numFmtId="0" fontId="11"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18" fillId="0" borderId="0"/>
    <xf numFmtId="0" fontId="11"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18" fillId="0" borderId="0"/>
    <xf numFmtId="0" fontId="9" fillId="0" borderId="0"/>
    <xf numFmtId="0" fontId="18"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18"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10" fontId="106" fillId="0" borderId="0" applyFont="0" applyFill="0" applyBorder="0" applyAlignment="0">
      <protection hidden="1"/>
    </xf>
    <xf numFmtId="0" fontId="9" fillId="0" borderId="0"/>
    <xf numFmtId="0" fontId="9" fillId="0" borderId="0"/>
    <xf numFmtId="211" fontId="107" fillId="0" borderId="0">
      <alignment horizontal="left"/>
    </xf>
    <xf numFmtId="212" fontId="108" fillId="0" borderId="0">
      <alignment horizontal="left"/>
    </xf>
    <xf numFmtId="0" fontId="1" fillId="40" borderId="0" applyNumberFormat="0" applyBorder="0" applyAlignment="0" applyProtection="0"/>
    <xf numFmtId="0" fontId="1" fillId="41" borderId="0" applyNumberFormat="0" applyBorder="0" applyAlignment="0" applyProtection="0"/>
    <xf numFmtId="0" fontId="1" fillId="43" borderId="0" applyNumberFormat="0" applyBorder="0" applyAlignment="0" applyProtection="0"/>
    <xf numFmtId="0" fontId="1" fillId="45" borderId="0" applyNumberFormat="0" applyBorder="0" applyAlignment="0" applyProtection="0"/>
    <xf numFmtId="0" fontId="1" fillId="46" borderId="0" applyNumberFormat="0" applyBorder="0" applyAlignment="0" applyProtection="0"/>
    <xf numFmtId="0" fontId="1" fillId="48" borderId="0" applyNumberFormat="0" applyBorder="0" applyAlignment="0" applyProtection="0"/>
    <xf numFmtId="0" fontId="1" fillId="49" borderId="0" applyNumberFormat="0" applyBorder="0" applyAlignment="0" applyProtection="0"/>
    <xf numFmtId="0" fontId="1" fillId="49" borderId="0" applyNumberFormat="0" applyBorder="0" applyAlignment="0" applyProtection="0"/>
    <xf numFmtId="0" fontId="1" fillId="42" borderId="0" applyNumberFormat="0" applyBorder="0" applyAlignment="0" applyProtection="0"/>
    <xf numFmtId="0" fontId="1" fillId="44" borderId="0" applyNumberFormat="0" applyBorder="0" applyAlignment="0" applyProtection="0"/>
    <xf numFmtId="0" fontId="1" fillId="49" borderId="0" applyNumberFormat="0" applyBorder="0" applyAlignment="0" applyProtection="0"/>
    <xf numFmtId="0" fontId="1" fillId="49" borderId="0" applyNumberFormat="0" applyBorder="0" applyAlignment="0" applyProtection="0"/>
    <xf numFmtId="0" fontId="92" fillId="50" borderId="0" applyNumberFormat="0" applyBorder="0" applyAlignment="0" applyProtection="0"/>
    <xf numFmtId="0" fontId="1" fillId="4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99" fillId="51" borderId="0" applyNumberFormat="0" applyBorder="0" applyAlignment="0" applyProtection="0"/>
    <xf numFmtId="0" fontId="45" fillId="52" borderId="0" applyNumberFormat="0" applyBorder="0" applyAlignment="0" applyProtection="0"/>
    <xf numFmtId="0" fontId="45" fillId="53" borderId="0" applyNumberFormat="0" applyBorder="0" applyAlignment="0" applyProtection="0"/>
    <xf numFmtId="0" fontId="45" fillId="53" borderId="0" applyNumberFormat="0" applyBorder="0" applyAlignment="0" applyProtection="0"/>
    <xf numFmtId="0" fontId="45" fillId="54" borderId="0" applyNumberFormat="0" applyBorder="0" applyAlignment="0" applyProtection="0"/>
    <xf numFmtId="0" fontId="45" fillId="55" borderId="0" applyNumberFormat="0" applyBorder="0" applyAlignment="0" applyProtection="0"/>
    <xf numFmtId="0" fontId="45" fillId="55" borderId="0" applyNumberFormat="0" applyBorder="0" applyAlignment="0" applyProtection="0"/>
    <xf numFmtId="0" fontId="109" fillId="56" borderId="0" applyNumberFormat="0" applyBorder="0" applyAlignment="0" applyProtection="0"/>
    <xf numFmtId="0" fontId="109" fillId="57" borderId="0" applyNumberFormat="0" applyBorder="0" applyAlignment="0" applyProtection="0"/>
    <xf numFmtId="0" fontId="109" fillId="57"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99" fillId="51"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109" fillId="58" borderId="0" applyNumberFormat="0" applyBorder="0" applyAlignment="0" applyProtection="0"/>
    <xf numFmtId="0" fontId="45" fillId="59" borderId="0" applyNumberFormat="0" applyBorder="0" applyAlignment="0" applyProtection="0"/>
    <xf numFmtId="0" fontId="45" fillId="60" borderId="0" applyNumberFormat="0" applyBorder="0" applyAlignment="0" applyProtection="0"/>
    <xf numFmtId="0" fontId="45" fillId="60" borderId="0" applyNumberFormat="0" applyBorder="0" applyAlignment="0" applyProtection="0"/>
    <xf numFmtId="0" fontId="45" fillId="61" borderId="0" applyNumberFormat="0" applyBorder="0" applyAlignment="0" applyProtection="0"/>
    <xf numFmtId="0" fontId="45" fillId="62" borderId="0" applyNumberFormat="0" applyBorder="0" applyAlignment="0" applyProtection="0"/>
    <xf numFmtId="0" fontId="45" fillId="62" borderId="0" applyNumberFormat="0" applyBorder="0" applyAlignment="0" applyProtection="0"/>
    <xf numFmtId="0" fontId="109" fillId="62" borderId="0" applyNumberFormat="0" applyBorder="0" applyAlignment="0" applyProtection="0"/>
    <xf numFmtId="0" fontId="109" fillId="63" borderId="0" applyNumberFormat="0" applyBorder="0" applyAlignment="0" applyProtection="0"/>
    <xf numFmtId="0" fontId="109" fillId="63"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109" fillId="64" borderId="0" applyNumberFormat="0" applyBorder="0" applyAlignment="0" applyProtection="0"/>
    <xf numFmtId="0" fontId="45" fillId="65" borderId="0" applyNumberFormat="0" applyBorder="0" applyAlignment="0" applyProtection="0"/>
    <xf numFmtId="0" fontId="45" fillId="66" borderId="0" applyNumberFormat="0" applyBorder="0" applyAlignment="0" applyProtection="0"/>
    <xf numFmtId="0" fontId="45" fillId="66" borderId="0" applyNumberFormat="0" applyBorder="0" applyAlignment="0" applyProtection="0"/>
    <xf numFmtId="0" fontId="45" fillId="67" borderId="0" applyNumberFormat="0" applyBorder="0" applyAlignment="0" applyProtection="0"/>
    <xf numFmtId="0" fontId="45" fillId="61" borderId="0" applyNumberFormat="0" applyBorder="0" applyAlignment="0" applyProtection="0"/>
    <xf numFmtId="0" fontId="45" fillId="61" borderId="0" applyNumberFormat="0" applyBorder="0" applyAlignment="0" applyProtection="0"/>
    <xf numFmtId="0" fontId="109" fillId="68" borderId="0" applyNumberFormat="0" applyBorder="0" applyAlignment="0" applyProtection="0"/>
    <xf numFmtId="0" fontId="109" fillId="54" borderId="0" applyNumberFormat="0" applyBorder="0" applyAlignment="0" applyProtection="0"/>
    <xf numFmtId="0" fontId="109" fillId="54"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109" fillId="69" borderId="0" applyNumberFormat="0" applyBorder="0" applyAlignment="0" applyProtection="0"/>
    <xf numFmtId="0" fontId="45" fillId="59" borderId="0" applyNumberFormat="0" applyBorder="0" applyAlignment="0" applyProtection="0"/>
    <xf numFmtId="0" fontId="45" fillId="61" borderId="0" applyNumberFormat="0" applyBorder="0" applyAlignment="0" applyProtection="0"/>
    <xf numFmtId="0" fontId="45" fillId="61" borderId="0" applyNumberFormat="0" applyBorder="0" applyAlignment="0" applyProtection="0"/>
    <xf numFmtId="0" fontId="45" fillId="63" borderId="0" applyNumberFormat="0" applyBorder="0" applyAlignment="0" applyProtection="0"/>
    <xf numFmtId="0" fontId="45" fillId="54" borderId="0" applyNumberFormat="0" applyBorder="0" applyAlignment="0" applyProtection="0"/>
    <xf numFmtId="0" fontId="45" fillId="54" borderId="0" applyNumberFormat="0" applyBorder="0" applyAlignment="0" applyProtection="0"/>
    <xf numFmtId="0" fontId="109" fillId="61" borderId="0" applyNumberFormat="0" applyBorder="0" applyAlignment="0" applyProtection="0"/>
    <xf numFmtId="0" fontId="109" fillId="54" borderId="0" applyNumberFormat="0" applyBorder="0" applyAlignment="0" applyProtection="0"/>
    <xf numFmtId="0" fontId="109" fillId="54"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99" fillId="71"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109" fillId="70" borderId="0" applyNumberFormat="0" applyBorder="0" applyAlignment="0" applyProtection="0"/>
    <xf numFmtId="0" fontId="45" fillId="66" borderId="0" applyNumberFormat="0" applyBorder="0" applyAlignment="0" applyProtection="0"/>
    <xf numFmtId="0" fontId="45" fillId="53" borderId="0" applyNumberFormat="0" applyBorder="0" applyAlignment="0" applyProtection="0"/>
    <xf numFmtId="0" fontId="45" fillId="53" borderId="0" applyNumberFormat="0" applyBorder="0" applyAlignment="0" applyProtection="0"/>
    <xf numFmtId="0" fontId="45" fillId="55" borderId="0" applyNumberFormat="0" applyBorder="0" applyAlignment="0" applyProtection="0"/>
    <xf numFmtId="0" fontId="109" fillId="56" borderId="0" applyNumberFormat="0" applyBorder="0" applyAlignment="0" applyProtection="0"/>
    <xf numFmtId="0" fontId="109" fillId="55" borderId="0" applyNumberFormat="0" applyBorder="0" applyAlignment="0" applyProtection="0"/>
    <xf numFmtId="0" fontId="109" fillId="55"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109" fillId="56" borderId="0" applyNumberFormat="0" applyBorder="0" applyAlignment="0" applyProtection="0"/>
    <xf numFmtId="0" fontId="45" fillId="72" borderId="0" applyNumberFormat="0" applyBorder="0" applyAlignment="0" applyProtection="0"/>
    <xf numFmtId="0" fontId="45" fillId="73" borderId="0" applyNumberFormat="0" applyBorder="0" applyAlignment="0" applyProtection="0"/>
    <xf numFmtId="0" fontId="45" fillId="62" borderId="0" applyNumberFormat="0" applyBorder="0" applyAlignment="0" applyProtection="0"/>
    <xf numFmtId="0" fontId="45" fillId="62" borderId="0" applyNumberFormat="0" applyBorder="0" applyAlignment="0" applyProtection="0"/>
    <xf numFmtId="0" fontId="109" fillId="74" borderId="0" applyNumberFormat="0" applyBorder="0" applyAlignment="0" applyProtection="0"/>
    <xf numFmtId="0" fontId="109" fillId="73" borderId="0" applyNumberFormat="0" applyBorder="0" applyAlignment="0" applyProtection="0"/>
    <xf numFmtId="0" fontId="109" fillId="73"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09" fillId="75" borderId="0" applyNumberFormat="0" applyBorder="0" applyAlignment="0" applyProtection="0"/>
    <xf numFmtId="0" fontId="16" fillId="0" borderId="0" applyNumberFormat="0" applyAlignment="0"/>
    <xf numFmtId="0" fontId="16" fillId="0" borderId="0"/>
    <xf numFmtId="213" fontId="9" fillId="0" borderId="0" applyNumberFormat="0" applyFont="0" applyFill="0" applyBorder="0">
      <alignment vertical="top"/>
      <protection hidden="1"/>
    </xf>
    <xf numFmtId="213" fontId="9" fillId="0" borderId="0" applyNumberFormat="0" applyFont="0" applyFill="0" applyBorder="0">
      <alignment vertical="top"/>
      <protection hidden="1"/>
    </xf>
    <xf numFmtId="0" fontId="84" fillId="0" borderId="0"/>
    <xf numFmtId="0" fontId="110" fillId="72" borderId="0" applyNumberFormat="0" applyBorder="0" applyAlignment="0" applyProtection="0"/>
    <xf numFmtId="0" fontId="111" fillId="76" borderId="0" applyNumberFormat="0" applyBorder="0" applyAlignment="0" applyProtection="0"/>
    <xf numFmtId="213" fontId="65" fillId="0" borderId="0" applyNumberFormat="0" applyFill="0" applyBorder="0">
      <protection hidden="1"/>
    </xf>
    <xf numFmtId="213" fontId="65" fillId="0" borderId="69" applyNumberFormat="0" applyFill="0">
      <protection hidden="1"/>
    </xf>
    <xf numFmtId="213" fontId="65" fillId="0" borderId="69" applyNumberFormat="0" applyFill="0">
      <protection hidden="1"/>
    </xf>
    <xf numFmtId="213" fontId="65" fillId="0" borderId="0" applyNumberFormat="0" applyFill="0" applyBorder="0">
      <protection hidden="1"/>
    </xf>
    <xf numFmtId="213" fontId="65" fillId="0" borderId="0" applyNumberFormat="0" applyFill="0" applyBorder="0">
      <protection hidden="1"/>
    </xf>
    <xf numFmtId="214" fontId="112" fillId="0" borderId="0">
      <alignment vertical="center"/>
      <protection locked="0"/>
    </xf>
    <xf numFmtId="0" fontId="108" fillId="0" borderId="0" applyFont="0" applyFill="0" applyBorder="0" applyAlignment="0" applyProtection="0">
      <alignment horizontal="right"/>
    </xf>
    <xf numFmtId="215" fontId="9" fillId="0" borderId="0" applyFill="0" applyBorder="0">
      <protection hidden="1"/>
    </xf>
    <xf numFmtId="215" fontId="9" fillId="0" borderId="0" applyFill="0" applyBorder="0">
      <protection hidden="1"/>
    </xf>
    <xf numFmtId="0" fontId="44" fillId="0" borderId="70" applyNumberFormat="0" applyFont="0" applyAlignment="0"/>
    <xf numFmtId="0" fontId="9" fillId="0" borderId="0"/>
    <xf numFmtId="190" fontId="113" fillId="29" borderId="71" applyNumberFormat="0">
      <alignment vertical="center"/>
    </xf>
    <xf numFmtId="216" fontId="113" fillId="77" borderId="71" applyNumberFormat="0">
      <alignment vertical="center"/>
    </xf>
    <xf numFmtId="1" fontId="9" fillId="78" borderId="71" applyNumberFormat="0">
      <alignment vertical="center"/>
    </xf>
    <xf numFmtId="190" fontId="113" fillId="79" borderId="71" applyNumberFormat="0">
      <alignment vertical="center"/>
    </xf>
    <xf numFmtId="190" fontId="113" fillId="19" borderId="71" applyNumberFormat="0">
      <alignment vertical="center"/>
    </xf>
    <xf numFmtId="3" fontId="113" fillId="0" borderId="71" applyNumberFormat="0">
      <alignment vertical="center"/>
    </xf>
    <xf numFmtId="217" fontId="92" fillId="0" borderId="0" applyFill="0" applyBorder="0" applyAlignment="0"/>
    <xf numFmtId="218" fontId="92" fillId="0" borderId="0" applyFill="0" applyBorder="0" applyAlignment="0"/>
    <xf numFmtId="219" fontId="92" fillId="0" borderId="0" applyFill="0" applyBorder="0" applyAlignment="0"/>
    <xf numFmtId="220" fontId="92" fillId="0" borderId="0" applyFill="0" applyBorder="0" applyAlignment="0"/>
    <xf numFmtId="221" fontId="92" fillId="0" borderId="0" applyFill="0" applyBorder="0" applyAlignment="0"/>
    <xf numFmtId="222" fontId="92" fillId="0" borderId="0" applyFill="0" applyBorder="0" applyAlignment="0"/>
    <xf numFmtId="217" fontId="92" fillId="0" borderId="0" applyFill="0" applyBorder="0" applyAlignment="0"/>
    <xf numFmtId="190" fontId="113" fillId="29" borderId="71" applyNumberFormat="0">
      <alignment vertical="center"/>
    </xf>
    <xf numFmtId="0" fontId="114" fillId="80" borderId="72" applyNumberFormat="0" applyAlignment="0" applyProtection="0"/>
    <xf numFmtId="0" fontId="115" fillId="0" borderId="0"/>
    <xf numFmtId="0" fontId="116" fillId="81" borderId="37" applyBorder="0">
      <alignment vertical="center"/>
    </xf>
    <xf numFmtId="0" fontId="117" fillId="70" borderId="73" applyNumberFormat="0" applyAlignment="0" applyProtection="0"/>
    <xf numFmtId="223" fontId="9" fillId="0" borderId="0" applyFont="0" applyFill="0" applyBorder="0" applyAlignment="0">
      <protection hidden="1"/>
    </xf>
    <xf numFmtId="223" fontId="9" fillId="0" borderId="0" applyFont="0" applyFill="0" applyBorder="0" applyAlignment="0">
      <protection hidden="1"/>
    </xf>
    <xf numFmtId="224" fontId="9" fillId="0" borderId="0" applyFont="0" applyFill="0" applyBorder="0" applyAlignment="0">
      <protection hidden="1"/>
    </xf>
    <xf numFmtId="224" fontId="9" fillId="0" borderId="0" applyFont="0" applyFill="0" applyBorder="0" applyAlignment="0">
      <protection hidden="1"/>
    </xf>
    <xf numFmtId="225" fontId="9" fillId="0" borderId="0" applyFont="0" applyFill="0" applyBorder="0">
      <protection hidden="1"/>
    </xf>
    <xf numFmtId="225" fontId="9" fillId="0" borderId="0" applyFont="0" applyFill="0" applyBorder="0">
      <protection hidden="1"/>
    </xf>
    <xf numFmtId="0" fontId="118" fillId="0" borderId="0" applyNumberFormat="0" applyFill="0" applyBorder="0" applyAlignment="0" applyProtection="0"/>
    <xf numFmtId="213" fontId="9" fillId="0" borderId="0" applyNumberFormat="0" applyFont="0" applyBorder="0" applyAlignment="0" applyProtection="0">
      <protection hidden="1"/>
    </xf>
    <xf numFmtId="213" fontId="9" fillId="0" borderId="0" applyNumberFormat="0" applyFont="0" applyBorder="0" applyAlignment="0" applyProtection="0">
      <protection hidden="1"/>
    </xf>
    <xf numFmtId="213" fontId="9" fillId="82" borderId="0" applyNumberFormat="0" applyFont="0" applyBorder="0" applyAlignment="0" applyProtection="0">
      <protection hidden="1"/>
    </xf>
    <xf numFmtId="213" fontId="9" fillId="82" borderId="0" applyNumberFormat="0" applyFont="0" applyBorder="0" applyAlignment="0" applyProtection="0">
      <protection hidden="1"/>
    </xf>
    <xf numFmtId="213" fontId="9" fillId="83" borderId="0" applyNumberFormat="0" applyFont="0" applyBorder="0" applyAlignment="0" applyProtection="0">
      <protection hidden="1"/>
    </xf>
    <xf numFmtId="213" fontId="9" fillId="83" borderId="0" applyNumberFormat="0" applyFont="0" applyBorder="0" applyAlignment="0" applyProtection="0">
      <protection hidden="1"/>
    </xf>
    <xf numFmtId="213" fontId="9" fillId="20" borderId="0" applyNumberFormat="0" applyFont="0" applyBorder="0" applyAlignment="0" applyProtection="0">
      <protection hidden="1"/>
    </xf>
    <xf numFmtId="213" fontId="9" fillId="20" borderId="0" applyNumberFormat="0" applyFont="0" applyBorder="0" applyAlignment="0" applyProtection="0">
      <protection hidden="1"/>
    </xf>
    <xf numFmtId="226" fontId="119" fillId="84" borderId="74" applyNumberFormat="0" applyProtection="0">
      <alignment horizontal="center"/>
      <protection hidden="1"/>
    </xf>
    <xf numFmtId="213" fontId="9" fillId="78" borderId="0" applyNumberFormat="0" applyFont="0" applyBorder="0" applyAlignment="0" applyProtection="0">
      <protection hidden="1"/>
    </xf>
    <xf numFmtId="213" fontId="9" fillId="78" borderId="0" applyNumberFormat="0" applyFont="0" applyBorder="0" applyAlignment="0" applyProtection="0">
      <protection hidden="1"/>
    </xf>
    <xf numFmtId="213" fontId="9" fillId="85" borderId="0" applyNumberFormat="0" applyFont="0" applyBorder="0" applyAlignment="0" applyProtection="0">
      <protection hidden="1"/>
    </xf>
    <xf numFmtId="213" fontId="9" fillId="85" borderId="0" applyNumberFormat="0" applyFont="0" applyBorder="0" applyAlignment="0" applyProtection="0">
      <protection hidden="1"/>
    </xf>
    <xf numFmtId="213" fontId="9" fillId="86" borderId="0" applyNumberFormat="0" applyFont="0" applyBorder="0" applyAlignment="0" applyProtection="0">
      <protection hidden="1"/>
    </xf>
    <xf numFmtId="213" fontId="9" fillId="86" borderId="0" applyNumberFormat="0" applyFont="0" applyBorder="0" applyAlignment="0" applyProtection="0">
      <protection hidden="1"/>
    </xf>
    <xf numFmtId="213" fontId="9" fillId="29" borderId="0" applyNumberFormat="0" applyFont="0" applyBorder="0" applyAlignment="0" applyProtection="0">
      <protection hidden="1"/>
    </xf>
    <xf numFmtId="213" fontId="9" fillId="29" borderId="0" applyNumberFormat="0" applyFont="0" applyBorder="0" applyAlignment="0" applyProtection="0">
      <protection hidden="1"/>
    </xf>
    <xf numFmtId="0" fontId="120" fillId="87" borderId="13" applyNumberFormat="0" applyProtection="0">
      <alignment horizontal="center" vertical="center" wrapText="1"/>
    </xf>
    <xf numFmtId="0" fontId="9" fillId="0" borderId="0" applyFill="0" applyBorder="0">
      <alignment horizontal="justify" vertical="top"/>
    </xf>
    <xf numFmtId="0" fontId="9" fillId="0" borderId="0" applyFill="0" applyBorder="0">
      <alignment horizontal="justify" vertical="top"/>
    </xf>
    <xf numFmtId="0" fontId="2" fillId="0" borderId="6">
      <alignment horizontal="left" wrapText="1"/>
    </xf>
    <xf numFmtId="227" fontId="121" fillId="0" borderId="0"/>
    <xf numFmtId="227" fontId="121" fillId="0" borderId="0"/>
    <xf numFmtId="227" fontId="121" fillId="0" borderId="0"/>
    <xf numFmtId="227" fontId="121" fillId="0" borderId="0"/>
    <xf numFmtId="227" fontId="121" fillId="0" borderId="0"/>
    <xf numFmtId="227" fontId="121" fillId="0" borderId="0"/>
    <xf numFmtId="227" fontId="121" fillId="0" borderId="0"/>
    <xf numFmtId="227" fontId="121" fillId="0" borderId="0"/>
    <xf numFmtId="221" fontId="9" fillId="0" borderId="0" applyFont="0" applyFill="0" applyBorder="0" applyAlignment="0" applyProtection="0"/>
    <xf numFmtId="171" fontId="9" fillId="0" borderId="0" applyFont="0" applyFill="0" applyBorder="0" applyAlignment="0" applyProtection="0"/>
    <xf numFmtId="167" fontId="9" fillId="0" borderId="0" applyFont="0" applyFill="0" applyBorder="0" applyAlignment="0" applyProtection="0"/>
    <xf numFmtId="43" fontId="45" fillId="0" borderId="0" applyFont="0" applyFill="0" applyBorder="0" applyAlignment="0" applyProtection="0"/>
    <xf numFmtId="171" fontId="9"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43" fontId="45"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71" fontId="9" fillId="0" borderId="0" applyFont="0" applyFill="0" applyBorder="0" applyAlignment="0" applyProtection="0"/>
    <xf numFmtId="43" fontId="45" fillId="0" borderId="0" applyFont="0" applyFill="0" applyBorder="0" applyAlignment="0" applyProtection="0"/>
    <xf numFmtId="179" fontId="24" fillId="0" borderId="0" applyFont="0" applyFill="0" applyBorder="0" applyAlignment="0" applyProtection="0">
      <alignment horizontal="right"/>
    </xf>
    <xf numFmtId="171" fontId="45"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67" fontId="9" fillId="0" borderId="0" applyFont="0" applyFill="0" applyBorder="0" applyAlignment="0" applyProtection="0"/>
    <xf numFmtId="4" fontId="20" fillId="0" borderId="0" applyFont="0" applyFill="0" applyBorder="0" applyAlignment="0" applyProtection="0"/>
    <xf numFmtId="167" fontId="9" fillId="0" borderId="0" applyFont="0" applyFill="0" applyBorder="0" applyAlignment="0" applyProtection="0"/>
    <xf numFmtId="171" fontId="11"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0" fontId="9" fillId="0" borderId="0"/>
    <xf numFmtId="0" fontId="9" fillId="0" borderId="0"/>
    <xf numFmtId="228" fontId="9"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0" fontId="9" fillId="0" borderId="0"/>
    <xf numFmtId="0" fontId="9" fillId="0" borderId="0"/>
    <xf numFmtId="165" fontId="9" fillId="0" borderId="0" applyFont="0" applyFill="0" applyBorder="0" applyAlignment="0" applyProtection="0"/>
    <xf numFmtId="167" fontId="9"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71" fontId="45" fillId="0" borderId="0" applyFont="0" applyFill="0" applyBorder="0" applyAlignment="0" applyProtection="0"/>
    <xf numFmtId="167" fontId="9" fillId="0" borderId="0" applyFont="0" applyFill="0" applyBorder="0" applyAlignment="0" applyProtection="0"/>
    <xf numFmtId="167" fontId="9" fillId="0" borderId="0" applyFont="0" applyFill="0" applyBorder="0" applyAlignment="0" applyProtection="0"/>
    <xf numFmtId="171" fontId="45" fillId="0" borderId="0" applyFont="0" applyFill="0" applyBorder="0" applyAlignment="0" applyProtection="0"/>
    <xf numFmtId="167" fontId="92" fillId="0" borderId="0" applyFont="0" applyFill="0" applyBorder="0" applyAlignment="0" applyProtection="0"/>
    <xf numFmtId="171" fontId="45" fillId="0" borderId="0" applyFont="0" applyFill="0" applyBorder="0" applyAlignment="0" applyProtection="0"/>
    <xf numFmtId="43" fontId="45" fillId="0" borderId="0" applyFont="0" applyFill="0" applyBorder="0" applyAlignment="0" applyProtection="0"/>
    <xf numFmtId="171" fontId="45" fillId="0" borderId="0" applyFont="0" applyFill="0" applyBorder="0" applyAlignment="0" applyProtection="0"/>
    <xf numFmtId="171" fontId="9" fillId="0" borderId="0" applyFont="0" applyFill="0" applyBorder="0" applyAlignment="0" applyProtection="0"/>
    <xf numFmtId="171" fontId="1"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67" fontId="45" fillId="0" borderId="0" applyFont="0" applyFill="0" applyBorder="0" applyAlignment="0" applyProtection="0"/>
    <xf numFmtId="171" fontId="9" fillId="0" borderId="0" applyFont="0" applyFill="0" applyBorder="0" applyAlignment="0" applyProtection="0"/>
    <xf numFmtId="229" fontId="122" fillId="0" borderId="0">
      <protection locked="0"/>
    </xf>
    <xf numFmtId="230" fontId="123" fillId="0" borderId="0" applyFont="0" applyFill="0" applyBorder="0" applyAlignment="0">
      <protection hidden="1"/>
    </xf>
    <xf numFmtId="217" fontId="9" fillId="0" borderId="0" applyFont="0" applyFill="0" applyBorder="0" applyAlignment="0" applyProtection="0"/>
    <xf numFmtId="44" fontId="45" fillId="0" borderId="0" applyFont="0" applyFill="0" applyBorder="0" applyAlignment="0" applyProtection="0"/>
    <xf numFmtId="181" fontId="24" fillId="0" borderId="0" applyFont="0" applyFill="0" applyBorder="0" applyAlignment="0" applyProtection="0">
      <alignment horizontal="right"/>
    </xf>
    <xf numFmtId="170" fontId="11" fillId="0" borderId="0" applyFont="0" applyFill="0" applyBorder="0" applyAlignment="0" applyProtection="0"/>
    <xf numFmtId="44" fontId="9" fillId="0" borderId="0" applyFont="0" applyFill="0" applyBorder="0" applyAlignment="0" applyProtection="0"/>
    <xf numFmtId="231" fontId="9" fillId="0" borderId="0" applyFont="0" applyFill="0" applyBorder="0" applyAlignment="0" applyProtection="0"/>
    <xf numFmtId="229" fontId="122" fillId="0" borderId="0">
      <protection locked="0"/>
    </xf>
    <xf numFmtId="0" fontId="124" fillId="0" borderId="26" applyNumberFormat="0" applyBorder="0">
      <alignment horizontal="centerContinuous"/>
    </xf>
    <xf numFmtId="182" fontId="16" fillId="0" borderId="0" applyFont="0" applyFill="0" applyBorder="0">
      <alignment horizontal="right" vertical="center"/>
    </xf>
    <xf numFmtId="0" fontId="9" fillId="0" borderId="0" applyNumberFormat="0" applyFont="0" applyBorder="0" applyProtection="0">
      <alignment vertical="top"/>
      <protection locked="0"/>
    </xf>
    <xf numFmtId="229" fontId="122" fillId="0" borderId="0">
      <protection locked="0"/>
    </xf>
    <xf numFmtId="232" fontId="92" fillId="0" borderId="0" applyFill="0" applyBorder="0">
      <protection hidden="1"/>
    </xf>
    <xf numFmtId="232" fontId="92" fillId="0" borderId="0" applyFill="0" applyBorder="0">
      <protection hidden="1"/>
    </xf>
    <xf numFmtId="233" fontId="92" fillId="0" borderId="0" applyFill="0" applyBorder="0">
      <protection hidden="1"/>
    </xf>
    <xf numFmtId="233" fontId="92" fillId="0" borderId="0" applyFill="0" applyBorder="0">
      <protection hidden="1"/>
    </xf>
    <xf numFmtId="184" fontId="92" fillId="0" borderId="0" applyFill="0" applyBorder="0">
      <protection hidden="1"/>
    </xf>
    <xf numFmtId="184" fontId="92" fillId="0" borderId="0" applyFill="0" applyBorder="0">
      <protection hidden="1"/>
    </xf>
    <xf numFmtId="234" fontId="92" fillId="0" borderId="0" applyFill="0" applyBorder="0">
      <protection hidden="1"/>
    </xf>
    <xf numFmtId="234" fontId="92" fillId="0" borderId="0" applyFill="0" applyBorder="0">
      <protection hidden="1"/>
    </xf>
    <xf numFmtId="235" fontId="92" fillId="0" borderId="0" applyFill="0" applyBorder="0">
      <protection hidden="1"/>
    </xf>
    <xf numFmtId="235" fontId="92" fillId="0" borderId="0" applyFill="0" applyBorder="0">
      <protection hidden="1"/>
    </xf>
    <xf numFmtId="14" fontId="92" fillId="0" borderId="0" applyFill="0" applyBorder="0" applyAlignment="0"/>
    <xf numFmtId="229" fontId="122" fillId="0" borderId="0">
      <protection locked="0"/>
    </xf>
    <xf numFmtId="38" fontId="20" fillId="0" borderId="0" applyFont="0" applyFill="0" applyBorder="0" applyAlignment="0" applyProtection="0"/>
    <xf numFmtId="236" fontId="125" fillId="0" borderId="15">
      <alignment vertical="center"/>
    </xf>
    <xf numFmtId="237" fontId="125" fillId="0" borderId="15">
      <alignment vertical="center"/>
    </xf>
    <xf numFmtId="238" fontId="125" fillId="0" borderId="15">
      <alignment vertical="center"/>
    </xf>
    <xf numFmtId="40" fontId="20" fillId="0" borderId="0" applyFont="0" applyFill="0" applyBorder="0" applyAlignment="0" applyProtection="0"/>
    <xf numFmtId="0" fontId="11" fillId="0" borderId="0" applyNumberFormat="0" applyFill="0" applyBorder="0" applyAlignment="0" applyProtection="0"/>
    <xf numFmtId="188" fontId="126" fillId="88" borderId="0"/>
    <xf numFmtId="239" fontId="127" fillId="0" borderId="75" applyNumberFormat="0" applyFont="0" applyAlignment="0"/>
    <xf numFmtId="240" fontId="126" fillId="0" borderId="0" applyBorder="0" applyProtection="0"/>
    <xf numFmtId="241" fontId="9" fillId="0" borderId="0" applyFill="0" applyBorder="0" applyProtection="0">
      <alignment horizontal="right"/>
    </xf>
    <xf numFmtId="242" fontId="9" fillId="0" borderId="0"/>
    <xf numFmtId="242" fontId="16" fillId="0" borderId="0" applyFill="0" applyBorder="0" applyProtection="0">
      <alignment vertical="center"/>
    </xf>
    <xf numFmtId="243" fontId="126" fillId="12" borderId="0">
      <alignment horizontal="right" indent="1"/>
    </xf>
    <xf numFmtId="242" fontId="128" fillId="19" borderId="0">
      <alignment horizontal="right"/>
    </xf>
    <xf numFmtId="243" fontId="126" fillId="88" borderId="0"/>
    <xf numFmtId="244" fontId="9" fillId="0" borderId="0" applyFill="0" applyBorder="0" applyAlignment="0" applyProtection="0"/>
    <xf numFmtId="245" fontId="9" fillId="0" borderId="0" applyFill="0" applyBorder="0" applyProtection="0"/>
    <xf numFmtId="0" fontId="129" fillId="89" borderId="0" applyNumberFormat="0" applyBorder="0" applyAlignment="0" applyProtection="0"/>
    <xf numFmtId="0" fontId="129" fillId="90" borderId="0" applyNumberFormat="0" applyBorder="0" applyAlignment="0" applyProtection="0"/>
    <xf numFmtId="0" fontId="129" fillId="91" borderId="0" applyNumberFormat="0" applyBorder="0" applyAlignment="0" applyProtection="0"/>
    <xf numFmtId="221" fontId="119" fillId="0" borderId="0" applyFill="0" applyBorder="0" applyAlignment="0"/>
    <xf numFmtId="217" fontId="119" fillId="0" borderId="0" applyFill="0" applyBorder="0" applyAlignment="0"/>
    <xf numFmtId="221" fontId="119" fillId="0" borderId="0" applyFill="0" applyBorder="0" applyAlignment="0"/>
    <xf numFmtId="222" fontId="119" fillId="0" borderId="0" applyFill="0" applyBorder="0" applyAlignment="0"/>
    <xf numFmtId="217" fontId="119" fillId="0" borderId="0" applyFill="0" applyBorder="0" applyAlignment="0"/>
    <xf numFmtId="37" fontId="130" fillId="0" borderId="67" applyFill="0" applyBorder="0">
      <alignment vertical="center"/>
      <protection locked="0"/>
    </xf>
    <xf numFmtId="0" fontId="130" fillId="0" borderId="0" applyFill="0" applyBorder="0">
      <alignment vertical="center"/>
    </xf>
    <xf numFmtId="0" fontId="130" fillId="0" borderId="67" applyFill="0" applyBorder="0">
      <alignment horizontal="left" wrapText="1"/>
      <protection locked="0"/>
    </xf>
    <xf numFmtId="37" fontId="130" fillId="0" borderId="67" applyFill="0" applyBorder="0">
      <alignment vertical="center"/>
      <protection locked="0"/>
    </xf>
    <xf numFmtId="246" fontId="123" fillId="0" borderId="0" applyFont="0" applyFill="0" applyBorder="0" applyAlignment="0">
      <protection hidden="1"/>
    </xf>
    <xf numFmtId="247" fontId="9" fillId="0" borderId="0" applyFont="0" applyFill="0" applyBorder="0" applyAlignment="0" applyProtection="0"/>
    <xf numFmtId="170" fontId="9" fillId="0" borderId="0" applyFont="0" applyFill="0" applyBorder="0" applyAlignment="0" applyProtection="0"/>
    <xf numFmtId="170" fontId="9" fillId="0" borderId="0" applyFont="0" applyFill="0" applyBorder="0" applyAlignment="0" applyProtection="0"/>
    <xf numFmtId="248" fontId="9" fillId="0" borderId="0" applyFont="0" applyFill="0" applyBorder="0" applyAlignment="0" applyProtection="0"/>
    <xf numFmtId="248" fontId="9" fillId="0" borderId="0" applyFont="0" applyFill="0" applyBorder="0" applyAlignment="0" applyProtection="0"/>
    <xf numFmtId="249" fontId="20" fillId="0" borderId="0" applyFont="0" applyFill="0" applyBorder="0" applyAlignment="0" applyProtection="0"/>
    <xf numFmtId="250" fontId="51" fillId="0" borderId="0" applyFont="0" applyFill="0" applyBorder="0" applyAlignment="0" applyProtection="0"/>
    <xf numFmtId="249" fontId="20" fillId="0" borderId="0" applyFont="0" applyFill="0" applyBorder="0" applyAlignment="0" applyProtection="0"/>
    <xf numFmtId="249" fontId="20" fillId="0" borderId="0" applyFont="0" applyFill="0" applyBorder="0" applyAlignment="0" applyProtection="0"/>
    <xf numFmtId="249" fontId="20" fillId="0" borderId="0" applyFont="0" applyFill="0" applyBorder="0" applyAlignment="0" applyProtection="0"/>
    <xf numFmtId="251" fontId="9" fillId="0" borderId="0" applyFont="0" applyFill="0" applyBorder="0" applyAlignment="0">
      <protection hidden="1"/>
    </xf>
    <xf numFmtId="251" fontId="9" fillId="0" borderId="0" applyFont="0" applyFill="0" applyBorder="0" applyAlignment="0">
      <protection hidden="1"/>
    </xf>
    <xf numFmtId="252" fontId="123" fillId="0" borderId="0" applyFont="0" applyFill="0" applyBorder="0" applyAlignment="0">
      <protection hidden="1"/>
    </xf>
    <xf numFmtId="253" fontId="9" fillId="0" borderId="0" applyFont="0" applyFill="0" applyBorder="0" applyAlignment="0" applyProtection="0"/>
    <xf numFmtId="0" fontId="113" fillId="92" borderId="76" applyNumberFormat="0">
      <alignment vertical="center"/>
    </xf>
    <xf numFmtId="0" fontId="131" fillId="0" borderId="9" applyFill="0" applyBorder="0">
      <alignment horizontal="left" vertical="top"/>
    </xf>
    <xf numFmtId="213" fontId="2" fillId="0" borderId="77">
      <protection hidden="1"/>
    </xf>
    <xf numFmtId="254" fontId="123" fillId="0" borderId="0" applyFont="0" applyFill="0" applyBorder="0">
      <protection hidden="1"/>
    </xf>
    <xf numFmtId="213" fontId="2" fillId="0" borderId="77">
      <protection hidden="1"/>
    </xf>
    <xf numFmtId="213" fontId="2" fillId="0" borderId="77">
      <protection hidden="1"/>
    </xf>
    <xf numFmtId="0" fontId="113" fillId="19" borderId="78" applyNumberFormat="0">
      <alignment vertical="center"/>
    </xf>
    <xf numFmtId="0" fontId="113" fillId="19" borderId="78" applyNumberFormat="0">
      <alignment vertical="center"/>
    </xf>
    <xf numFmtId="0" fontId="113" fillId="19" borderId="78" applyNumberFormat="0">
      <alignment vertical="center"/>
    </xf>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3" fontId="9" fillId="0" borderId="0" applyFont="0" applyFill="0" applyBorder="0" applyAlignment="0" applyProtection="0"/>
    <xf numFmtId="229" fontId="122" fillId="0" borderId="0">
      <protection locked="0"/>
    </xf>
    <xf numFmtId="37" fontId="9" fillId="0" borderId="67" applyFill="0" applyBorder="0">
      <alignment vertical="center"/>
    </xf>
    <xf numFmtId="255" fontId="9" fillId="0" borderId="0" applyFont="0" applyFill="0" applyBorder="0" applyAlignment="0">
      <protection hidden="1"/>
    </xf>
    <xf numFmtId="255" fontId="9" fillId="0" borderId="0" applyFont="0" applyFill="0" applyBorder="0" applyAlignment="0">
      <protection hidden="1"/>
    </xf>
    <xf numFmtId="256" fontId="9" fillId="0" borderId="0" applyFont="0" applyFill="0" applyBorder="0" applyAlignment="0">
      <protection hidden="1"/>
    </xf>
    <xf numFmtId="256" fontId="9" fillId="0" borderId="0" applyFont="0" applyFill="0" applyBorder="0" applyAlignment="0">
      <protection hidden="1"/>
    </xf>
    <xf numFmtId="0" fontId="45" fillId="67" borderId="0" applyNumberFormat="0" applyBorder="0" applyAlignment="0" applyProtection="0"/>
    <xf numFmtId="38" fontId="16" fillId="19" borderId="0" applyNumberFormat="0" applyBorder="0" applyAlignment="0" applyProtection="0"/>
    <xf numFmtId="0" fontId="132" fillId="19" borderId="79" applyNumberFormat="0">
      <alignment vertical="center"/>
    </xf>
    <xf numFmtId="257" fontId="9" fillId="0" borderId="0" applyFont="0" applyFill="0" applyBorder="0" applyAlignment="0">
      <protection hidden="1"/>
    </xf>
    <xf numFmtId="257" fontId="9" fillId="0" borderId="0" applyFont="0" applyFill="0" applyBorder="0" applyAlignment="0">
      <protection hidden="1"/>
    </xf>
    <xf numFmtId="258" fontId="123" fillId="0" borderId="0" applyFont="0" applyFill="0" applyBorder="0" applyAlignment="0">
      <protection hidden="1"/>
    </xf>
    <xf numFmtId="0" fontId="133" fillId="0" borderId="80" applyNumberFormat="0" applyFill="0" applyAlignment="0" applyProtection="0"/>
    <xf numFmtId="0" fontId="134" fillId="0" borderId="0" applyProtection="0">
      <alignment horizontal="left"/>
    </xf>
    <xf numFmtId="0" fontId="135" fillId="0" borderId="0" applyProtection="0">
      <alignment horizontal="left"/>
    </xf>
    <xf numFmtId="0" fontId="136" fillId="0" borderId="0" applyNumberFormat="0" applyFill="0" applyBorder="0" applyAlignment="0" applyProtection="0"/>
    <xf numFmtId="213" fontId="137" fillId="82" borderId="81" applyNumberFormat="0" applyAlignment="0">
      <protection hidden="1"/>
    </xf>
    <xf numFmtId="259" fontId="138" fillId="0" borderId="16">
      <alignment horizontal="left" vertical="center"/>
    </xf>
    <xf numFmtId="0" fontId="139" fillId="0" borderId="0" applyNumberFormat="0" applyFill="0" applyBorder="0" applyAlignment="0" applyProtection="0">
      <alignment vertical="top"/>
      <protection locked="0"/>
    </xf>
    <xf numFmtId="0" fontId="140" fillId="0" borderId="0" applyNumberFormat="0" applyFill="0" applyBorder="0" applyAlignment="0" applyProtection="0">
      <alignment vertical="top"/>
      <protection locked="0"/>
    </xf>
    <xf numFmtId="250" fontId="140" fillId="0" borderId="0" applyNumberFormat="0" applyFill="0" applyBorder="0" applyAlignment="0" applyProtection="0">
      <alignment vertical="top"/>
      <protection locked="0"/>
    </xf>
    <xf numFmtId="0" fontId="141" fillId="0" borderId="0" applyNumberFormat="0" applyFill="0" applyBorder="0" applyAlignment="0" applyProtection="0">
      <alignment vertical="top"/>
      <protection locked="0"/>
    </xf>
    <xf numFmtId="0" fontId="140" fillId="0" borderId="0" applyNumberFormat="0" applyFill="0" applyBorder="0" applyAlignment="0" applyProtection="0">
      <alignment vertical="top"/>
      <protection locked="0"/>
    </xf>
    <xf numFmtId="260" fontId="98" fillId="0" borderId="82">
      <alignment vertical="center"/>
    </xf>
    <xf numFmtId="261" fontId="142" fillId="0" borderId="0"/>
    <xf numFmtId="213" fontId="9" fillId="12" borderId="0" applyNumberFormat="0" applyFont="0" applyBorder="0" applyAlignment="0">
      <protection locked="0"/>
    </xf>
    <xf numFmtId="213" fontId="9" fillId="12" borderId="0" applyNumberFormat="0" applyFont="0" applyBorder="0" applyAlignment="0">
      <protection locked="0"/>
    </xf>
    <xf numFmtId="213" fontId="9" fillId="78" borderId="0" applyNumberFormat="0" applyFont="0" applyBorder="0" applyAlignment="0">
      <protection locked="0"/>
    </xf>
    <xf numFmtId="213" fontId="9" fillId="78" borderId="0" applyNumberFormat="0" applyFont="0" applyBorder="0" applyAlignment="0">
      <protection locked="0"/>
    </xf>
    <xf numFmtId="213" fontId="143" fillId="0" borderId="0" applyNumberFormat="0" applyFill="0" applyBorder="0" applyAlignment="0"/>
    <xf numFmtId="213" fontId="144" fillId="0" borderId="0" applyNumberFormat="0" applyFill="0" applyBorder="0" applyAlignment="0"/>
    <xf numFmtId="0" fontId="119" fillId="0" borderId="0" applyFill="0" applyBorder="0" applyAlignment="0"/>
    <xf numFmtId="0" fontId="119" fillId="0" borderId="0" applyFill="0" applyBorder="0" applyAlignment="0"/>
    <xf numFmtId="262" fontId="142" fillId="0" borderId="0"/>
    <xf numFmtId="10" fontId="16" fillId="20" borderId="6" applyNumberFormat="0" applyBorder="0" applyAlignment="0" applyProtection="0"/>
    <xf numFmtId="236" fontId="145" fillId="0" borderId="82">
      <alignment vertical="center"/>
    </xf>
    <xf numFmtId="263" fontId="98" fillId="0" borderId="82">
      <alignment vertical="center"/>
    </xf>
    <xf numFmtId="264" fontId="145" fillId="0" borderId="82">
      <alignment vertical="center"/>
    </xf>
    <xf numFmtId="190" fontId="113" fillId="23" borderId="83" applyNumberFormat="0">
      <alignment vertical="center"/>
      <protection locked="0"/>
    </xf>
    <xf numFmtId="3" fontId="42" fillId="0" borderId="0"/>
    <xf numFmtId="0" fontId="113" fillId="84" borderId="83" applyNumberFormat="0">
      <alignment vertical="center"/>
      <protection locked="0"/>
    </xf>
    <xf numFmtId="0" fontId="113" fillId="84" borderId="83" applyNumberFormat="0">
      <alignment vertical="center"/>
      <protection locked="0"/>
    </xf>
    <xf numFmtId="3" fontId="42" fillId="0" borderId="0"/>
    <xf numFmtId="213" fontId="146" fillId="0" borderId="0" applyNumberFormat="0" applyFill="0" applyBorder="0" applyAlignment="0"/>
    <xf numFmtId="213" fontId="147" fillId="0" borderId="0" applyNumberFormat="0" applyFill="0" applyBorder="0" applyAlignment="0"/>
    <xf numFmtId="213" fontId="148" fillId="0" borderId="0" applyNumberFormat="0" applyFill="0" applyBorder="0" applyAlignment="0"/>
    <xf numFmtId="213" fontId="148" fillId="0" borderId="0" applyNumberFormat="0" applyFill="0" applyBorder="0" applyAlignment="0"/>
    <xf numFmtId="265" fontId="68" fillId="12" borderId="0"/>
    <xf numFmtId="0" fontId="9" fillId="0" borderId="0"/>
    <xf numFmtId="0" fontId="104" fillId="0" borderId="0"/>
    <xf numFmtId="0" fontId="15" fillId="0" borderId="0"/>
    <xf numFmtId="0" fontId="18" fillId="0" borderId="0"/>
    <xf numFmtId="213" fontId="106" fillId="93" borderId="0" applyNumberFormat="0" applyFont="0" applyBorder="0" applyAlignment="0">
      <protection hidden="1"/>
    </xf>
    <xf numFmtId="266" fontId="9" fillId="0" borderId="0" applyFont="0" applyFill="0" applyBorder="0">
      <protection hidden="1"/>
    </xf>
    <xf numFmtId="266" fontId="9" fillId="0" borderId="0" applyFont="0" applyFill="0" applyBorder="0">
      <protection hidden="1"/>
    </xf>
    <xf numFmtId="171" fontId="9" fillId="0" borderId="0" applyFont="0" applyFill="0" applyBorder="0" applyAlignment="0" applyProtection="0"/>
    <xf numFmtId="171" fontId="16" fillId="0" borderId="0" applyFont="0" applyFill="0" applyBorder="0" applyAlignment="0" applyProtection="0"/>
    <xf numFmtId="171" fontId="102" fillId="0" borderId="0" applyFont="0" applyFill="0" applyBorder="0" applyAlignment="0" applyProtection="0"/>
    <xf numFmtId="38" fontId="149" fillId="0" borderId="0"/>
    <xf numFmtId="38" fontId="150" fillId="0" borderId="0"/>
    <xf numFmtId="38" fontId="151" fillId="0" borderId="0"/>
    <xf numFmtId="38" fontId="152" fillId="0" borderId="0"/>
    <xf numFmtId="0" fontId="153" fillId="0" borderId="0"/>
    <xf numFmtId="0" fontId="153" fillId="0" borderId="0"/>
    <xf numFmtId="267" fontId="9" fillId="0" borderId="0" applyFont="0" applyFill="0" applyBorder="0" applyAlignment="0">
      <protection hidden="1"/>
    </xf>
    <xf numFmtId="267" fontId="9" fillId="0" borderId="0" applyFont="0" applyFill="0" applyBorder="0" applyAlignment="0">
      <protection hidden="1"/>
    </xf>
    <xf numFmtId="268" fontId="123" fillId="0" borderId="0" applyFont="0" applyFill="0" applyBorder="0" applyAlignment="0">
      <protection hidden="1"/>
    </xf>
    <xf numFmtId="0" fontId="51" fillId="0" borderId="0" applyNumberFormat="0" applyFont="0" applyFill="0" applyBorder="0" applyProtection="0">
      <alignment horizontal="left" vertical="center"/>
    </xf>
    <xf numFmtId="0" fontId="92" fillId="0" borderId="0"/>
    <xf numFmtId="0" fontId="18" fillId="0" borderId="0"/>
    <xf numFmtId="213" fontId="106" fillId="39" borderId="0" applyNumberFormat="0" applyFont="0" applyBorder="0" applyAlignment="0">
      <protection hidden="1"/>
    </xf>
    <xf numFmtId="0" fontId="16" fillId="0" borderId="0" applyNumberFormat="0" applyFill="0" applyBorder="0"/>
    <xf numFmtId="0" fontId="16" fillId="0" borderId="0" applyNumberFormat="0" applyFill="0" applyBorder="0"/>
    <xf numFmtId="221" fontId="154" fillId="0" borderId="0" applyFill="0" applyBorder="0" applyAlignment="0"/>
    <xf numFmtId="217" fontId="154" fillId="0" borderId="0" applyFill="0" applyBorder="0" applyAlignment="0"/>
    <xf numFmtId="221" fontId="154" fillId="0" borderId="0" applyFill="0" applyBorder="0" applyAlignment="0"/>
    <xf numFmtId="222" fontId="154" fillId="0" borderId="0" applyFill="0" applyBorder="0" applyAlignment="0"/>
    <xf numFmtId="217" fontId="154" fillId="0" borderId="0" applyFill="0" applyBorder="0" applyAlignment="0"/>
    <xf numFmtId="213" fontId="155" fillId="0" borderId="0" applyNumberFormat="0" applyFill="0" applyBorder="0" applyAlignment="0"/>
    <xf numFmtId="213" fontId="156" fillId="0" borderId="0" applyNumberFormat="0" applyFill="0" applyBorder="0" applyAlignment="0"/>
    <xf numFmtId="213" fontId="157" fillId="0" borderId="0" applyNumberFormat="0" applyFill="0" applyBorder="0" applyAlignment="0"/>
    <xf numFmtId="213" fontId="157" fillId="0" borderId="0" applyNumberFormat="0" applyFill="0" applyBorder="0" applyAlignment="0"/>
    <xf numFmtId="3" fontId="47" fillId="0" borderId="0"/>
    <xf numFmtId="3" fontId="47" fillId="0" borderId="0"/>
    <xf numFmtId="0" fontId="158" fillId="0" borderId="84" applyNumberFormat="0" applyFill="0" applyAlignment="0" applyProtection="0"/>
    <xf numFmtId="190" fontId="9" fillId="0" borderId="0" applyFont="0" applyFill="0" applyBorder="0" applyAlignment="0" applyProtection="0"/>
    <xf numFmtId="190" fontId="9" fillId="0" borderId="0" applyFont="0" applyFill="0" applyBorder="0" applyAlignment="0" applyProtection="0"/>
    <xf numFmtId="0" fontId="9" fillId="94" borderId="0" applyNumberFormat="0" applyFont="0" applyBorder="0" applyAlignment="0"/>
    <xf numFmtId="269" fontId="9" fillId="95" borderId="85" applyNumberFormat="0" applyFont="0" applyBorder="0" applyAlignment="0"/>
    <xf numFmtId="270" fontId="92" fillId="0" borderId="69" applyFont="0" applyFill="0" applyBorder="0">
      <protection hidden="1"/>
    </xf>
    <xf numFmtId="270" fontId="92" fillId="0" borderId="69" applyFont="0" applyFill="0" applyBorder="0">
      <protection hidden="1"/>
    </xf>
    <xf numFmtId="271" fontId="123" fillId="0" borderId="0" applyFont="0" applyFill="0" applyBorder="0">
      <protection hidden="1"/>
    </xf>
    <xf numFmtId="272" fontId="123" fillId="0" borderId="69" applyFont="0" applyFill="0" applyBorder="0">
      <protection hidden="1"/>
    </xf>
    <xf numFmtId="273" fontId="2" fillId="12" borderId="6" applyFont="0" applyFill="0" applyBorder="0" applyAlignment="0">
      <alignment horizontal="centerContinuous"/>
    </xf>
    <xf numFmtId="167" fontId="9" fillId="0" borderId="0" applyFont="0" applyFill="0" applyBorder="0" applyAlignment="0" applyProtection="0"/>
    <xf numFmtId="0" fontId="159" fillId="0" borderId="13"/>
    <xf numFmtId="0" fontId="9" fillId="0" borderId="0" applyFont="0" applyFill="0" applyBorder="0" applyAlignment="0" applyProtection="0"/>
    <xf numFmtId="0" fontId="9" fillId="0" borderId="0" applyFont="0" applyFill="0" applyBorder="0" applyAlignment="0" applyProtection="0"/>
    <xf numFmtId="164" fontId="9" fillId="0" borderId="0" applyFont="0" applyFill="0" applyBorder="0" applyAlignment="0" applyProtection="0"/>
    <xf numFmtId="164"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5" fontId="9" fillId="0" borderId="0" applyFont="0" applyFill="0" applyBorder="0" applyAlignment="0" applyProtection="0"/>
    <xf numFmtId="196"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7" fontId="9" fillId="0" borderId="0" applyFont="0" applyFill="0" applyBorder="0" applyAlignment="0" applyProtection="0"/>
    <xf numFmtId="197" fontId="9" fillId="0" borderId="0" applyFont="0" applyFill="0" applyBorder="0" applyAlignment="0" applyProtection="0"/>
    <xf numFmtId="10" fontId="9" fillId="0" borderId="0" applyFont="0" applyFill="0" applyProtection="0"/>
    <xf numFmtId="10" fontId="9" fillId="0" borderId="0" applyFont="0" applyFill="0" applyProtection="0"/>
    <xf numFmtId="0" fontId="9" fillId="0" borderId="0" applyFont="0" applyFill="0" applyBorder="0" applyAlignment="0" applyProtection="0"/>
    <xf numFmtId="0" fontId="9"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96" fontId="9" fillId="0" borderId="0" applyFont="0" applyFill="0" applyBorder="0" applyAlignment="0" applyProtection="0"/>
    <xf numFmtId="196" fontId="9" fillId="0" borderId="0" applyFont="0" applyFill="0" applyBorder="0" applyAlignment="0" applyProtection="0"/>
    <xf numFmtId="12" fontId="9" fillId="0" borderId="0" applyFont="0" applyFill="0" applyProtection="0"/>
    <xf numFmtId="12" fontId="9" fillId="0" borderId="0" applyFont="0" applyFill="0" applyProtection="0"/>
    <xf numFmtId="274" fontId="9" fillId="0" borderId="0" applyFont="0" applyFill="0" applyBorder="0" applyAlignment="0">
      <protection hidden="1"/>
    </xf>
    <xf numFmtId="274" fontId="9" fillId="0" borderId="0" applyFont="0" applyFill="0" applyBorder="0" applyAlignment="0">
      <protection hidden="1"/>
    </xf>
    <xf numFmtId="275" fontId="123" fillId="0" borderId="0" applyFont="0" applyFill="0" applyBorder="0" applyAlignment="0">
      <protection hidden="1"/>
    </xf>
    <xf numFmtId="0" fontId="160" fillId="84" borderId="86" applyNumberFormat="0" applyFill="0" applyAlignment="0" applyProtection="0">
      <alignment vertical="center"/>
      <protection locked="0"/>
    </xf>
    <xf numFmtId="0" fontId="161" fillId="0" borderId="0" applyNumberFormat="0" applyBorder="0">
      <alignment horizontal="left" vertical="top"/>
    </xf>
    <xf numFmtId="0" fontId="160" fillId="84" borderId="86" applyNumberFormat="0" applyFill="0" applyAlignment="0" applyProtection="0">
      <alignment vertical="center"/>
      <protection locked="0"/>
    </xf>
    <xf numFmtId="0" fontId="158" fillId="73" borderId="0" applyNumberFormat="0" applyBorder="0" applyAlignment="0" applyProtection="0"/>
    <xf numFmtId="0" fontId="17" fillId="0" borderId="0"/>
    <xf numFmtId="200" fontId="9" fillId="0" borderId="0"/>
    <xf numFmtId="261" fontId="162" fillId="0" borderId="0"/>
    <xf numFmtId="276" fontId="9" fillId="0" borderId="0">
      <protection hidden="1"/>
    </xf>
    <xf numFmtId="276" fontId="9" fillId="0" borderId="0">
      <protection hidden="1"/>
    </xf>
    <xf numFmtId="240" fontId="162" fillId="0" borderId="0"/>
    <xf numFmtId="277" fontId="92" fillId="0" borderId="0">
      <protection hidden="1"/>
    </xf>
    <xf numFmtId="277" fontId="92" fillId="0" borderId="0">
      <protection hidden="1"/>
    </xf>
    <xf numFmtId="3" fontId="9" fillId="0" borderId="0"/>
    <xf numFmtId="37" fontId="51" fillId="0" borderId="0" applyAlignment="0"/>
    <xf numFmtId="0" fontId="45" fillId="0" borderId="0"/>
    <xf numFmtId="0" fontId="45" fillId="0" borderId="0"/>
    <xf numFmtId="0" fontId="45" fillId="0" borderId="0"/>
    <xf numFmtId="0" fontId="163" fillId="0" borderId="0"/>
    <xf numFmtId="0" fontId="45" fillId="0" borderId="0"/>
    <xf numFmtId="0" fontId="45" fillId="0" borderId="0"/>
    <xf numFmtId="0" fontId="163" fillId="0" borderId="0"/>
    <xf numFmtId="0" fontId="45" fillId="0" borderId="0"/>
    <xf numFmtId="0" fontId="45" fillId="0" borderId="0"/>
    <xf numFmtId="0" fontId="163" fillId="0" borderId="0"/>
    <xf numFmtId="0" fontId="9" fillId="0" borderId="0"/>
    <xf numFmtId="0" fontId="9" fillId="0" borderId="0"/>
    <xf numFmtId="0" fontId="163" fillId="0" borderId="0"/>
    <xf numFmtId="0" fontId="9" fillId="0" borderId="0"/>
    <xf numFmtId="0" fontId="9" fillId="0" borderId="0"/>
    <xf numFmtId="0" fontId="164" fillId="0" borderId="0"/>
    <xf numFmtId="0" fontId="45" fillId="0" borderId="0"/>
    <xf numFmtId="0" fontId="45" fillId="0" borderId="0"/>
    <xf numFmtId="0" fontId="45" fillId="0" borderId="0"/>
    <xf numFmtId="0" fontId="45" fillId="0" borderId="0"/>
    <xf numFmtId="0" fontId="1" fillId="0" borderId="0"/>
    <xf numFmtId="0" fontId="1" fillId="0" borderId="0"/>
    <xf numFmtId="0" fontId="45" fillId="0" borderId="0"/>
    <xf numFmtId="0" fontId="9" fillId="0" borderId="0"/>
    <xf numFmtId="0" fontId="45" fillId="0" borderId="0"/>
    <xf numFmtId="0" fontId="1" fillId="0" borderId="0"/>
    <xf numFmtId="0" fontId="45" fillId="0" borderId="0"/>
    <xf numFmtId="0" fontId="45" fillId="0" borderId="0"/>
    <xf numFmtId="0" fontId="9" fillId="0" borderId="0"/>
    <xf numFmtId="0" fontId="45" fillId="0" borderId="0"/>
    <xf numFmtId="0" fontId="45" fillId="0" borderId="0"/>
    <xf numFmtId="0" fontId="9" fillId="0" borderId="0"/>
    <xf numFmtId="0" fontId="9" fillId="0" borderId="0"/>
    <xf numFmtId="0" fontId="9" fillId="0" borderId="0"/>
    <xf numFmtId="0" fontId="9" fillId="0" borderId="0"/>
    <xf numFmtId="0" fontId="9" fillId="0" borderId="0"/>
    <xf numFmtId="0" fontId="45" fillId="0" borderId="0"/>
    <xf numFmtId="0" fontId="45" fillId="0" borderId="0"/>
    <xf numFmtId="0" fontId="45" fillId="0" borderId="0"/>
    <xf numFmtId="0" fontId="45" fillId="0" borderId="0"/>
    <xf numFmtId="0" fontId="9" fillId="0" borderId="0"/>
    <xf numFmtId="250" fontId="20" fillId="0" borderId="0"/>
    <xf numFmtId="0" fontId="9" fillId="0" borderId="0"/>
    <xf numFmtId="0" fontId="9" fillId="0" borderId="0"/>
    <xf numFmtId="0" fontId="9" fillId="0" borderId="0"/>
    <xf numFmtId="0" fontId="45" fillId="0" borderId="0"/>
    <xf numFmtId="0" fontId="45" fillId="0" borderId="0"/>
    <xf numFmtId="0" fontId="163" fillId="0" borderId="0"/>
    <xf numFmtId="0" fontId="45" fillId="0" borderId="0"/>
    <xf numFmtId="0" fontId="45" fillId="0" borderId="0"/>
    <xf numFmtId="0" fontId="163" fillId="0" borderId="0"/>
    <xf numFmtId="0" fontId="45" fillId="0" borderId="0"/>
    <xf numFmtId="0" fontId="45" fillId="0" borderId="0"/>
    <xf numFmtId="0" fontId="9" fillId="0" borderId="0"/>
    <xf numFmtId="0" fontId="45" fillId="0" borderId="0"/>
    <xf numFmtId="0" fontId="163" fillId="0" borderId="0"/>
    <xf numFmtId="0" fontId="45" fillId="0" borderId="0"/>
    <xf numFmtId="0" fontId="45" fillId="0" borderId="0"/>
    <xf numFmtId="0" fontId="163" fillId="0" borderId="0"/>
    <xf numFmtId="0" fontId="45" fillId="0" borderId="0"/>
    <xf numFmtId="0" fontId="9" fillId="0" borderId="0"/>
    <xf numFmtId="0" fontId="102" fillId="0" borderId="0"/>
    <xf numFmtId="0" fontId="45" fillId="0" borderId="0"/>
    <xf numFmtId="0" fontId="45" fillId="0" borderId="0"/>
    <xf numFmtId="0" fontId="45" fillId="0" borderId="0"/>
    <xf numFmtId="0" fontId="163" fillId="0" borderId="0"/>
    <xf numFmtId="0" fontId="9" fillId="0" borderId="0"/>
    <xf numFmtId="0" fontId="9" fillId="0" borderId="0"/>
    <xf numFmtId="0" fontId="45" fillId="0" borderId="0"/>
    <xf numFmtId="3" fontId="9" fillId="0" borderId="0"/>
    <xf numFmtId="0" fontId="45" fillId="0" borderId="0"/>
    <xf numFmtId="0" fontId="163" fillId="0" borderId="0"/>
    <xf numFmtId="0" fontId="9" fillId="0" borderId="0"/>
    <xf numFmtId="0" fontId="9" fillId="0" borderId="0"/>
    <xf numFmtId="0" fontId="45" fillId="0" borderId="0"/>
    <xf numFmtId="0" fontId="1" fillId="0" borderId="0"/>
    <xf numFmtId="0" fontId="45" fillId="0" borderId="0"/>
    <xf numFmtId="0" fontId="45" fillId="0" borderId="0"/>
    <xf numFmtId="0" fontId="163" fillId="0" borderId="0"/>
    <xf numFmtId="0" fontId="9" fillId="0" borderId="0"/>
    <xf numFmtId="0" fontId="45" fillId="0" borderId="0"/>
    <xf numFmtId="0" fontId="9" fillId="0" borderId="0"/>
    <xf numFmtId="0" fontId="16" fillId="0" borderId="0"/>
    <xf numFmtId="0" fontId="45" fillId="0" borderId="0"/>
    <xf numFmtId="0" fontId="45" fillId="0" borderId="0"/>
    <xf numFmtId="0" fontId="163" fillId="0" borderId="0"/>
    <xf numFmtId="0" fontId="45" fillId="0" borderId="0"/>
    <xf numFmtId="0" fontId="45" fillId="0" borderId="0"/>
    <xf numFmtId="0" fontId="45" fillId="0" borderId="0"/>
    <xf numFmtId="0" fontId="11" fillId="0" borderId="0"/>
    <xf numFmtId="0" fontId="45" fillId="0" borderId="0"/>
    <xf numFmtId="0" fontId="45" fillId="0" borderId="0"/>
    <xf numFmtId="0" fontId="9" fillId="0" borderId="0"/>
    <xf numFmtId="37" fontId="22" fillId="0" borderId="0" applyNumberFormat="0" applyFill="0" applyAlignment="0"/>
    <xf numFmtId="37" fontId="22" fillId="0" borderId="0" applyNumberFormat="0" applyFill="0" applyAlignment="0"/>
    <xf numFmtId="0" fontId="45" fillId="0" borderId="0"/>
    <xf numFmtId="0" fontId="9" fillId="0" borderId="0"/>
    <xf numFmtId="0" fontId="165" fillId="0" borderId="0"/>
    <xf numFmtId="0" fontId="45" fillId="2" borderId="1"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166" fillId="0" borderId="82"/>
    <xf numFmtId="0" fontId="167" fillId="0" borderId="0" applyProtection="0">
      <alignment horizontal="left"/>
      <protection hidden="1"/>
    </xf>
    <xf numFmtId="0" fontId="167" fillId="0" borderId="87" applyProtection="0">
      <alignment horizontal="left"/>
    </xf>
    <xf numFmtId="0" fontId="92" fillId="96" borderId="68" applyNumberFormat="0" applyFont="0" applyAlignment="0" applyProtection="0"/>
    <xf numFmtId="0" fontId="92"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0" fontId="9" fillId="96" borderId="68" applyNumberFormat="0" applyFont="0" applyAlignment="0" applyProtection="0"/>
    <xf numFmtId="3" fontId="44" fillId="0" borderId="0" applyBorder="0"/>
    <xf numFmtId="176" fontId="9" fillId="0" borderId="0" applyFont="0" applyFill="0" applyBorder="0" applyAlignment="0" applyProtection="0"/>
    <xf numFmtId="209" fontId="9" fillId="0" borderId="0" applyFont="0" applyFill="0" applyBorder="0" applyAlignment="0" applyProtection="0"/>
    <xf numFmtId="0" fontId="168" fillId="0" borderId="0"/>
    <xf numFmtId="213" fontId="2" fillId="97" borderId="0" applyNumberFormat="0" applyBorder="0" applyAlignment="0"/>
    <xf numFmtId="213" fontId="2" fillId="97" borderId="0" applyNumberFormat="0" applyBorder="0" applyAlignment="0"/>
    <xf numFmtId="0" fontId="169" fillId="80" borderId="78" applyNumberFormat="0" applyAlignment="0" applyProtection="0"/>
    <xf numFmtId="0" fontId="170" fillId="49" borderId="78" applyNumberFormat="0" applyAlignment="0" applyProtection="0"/>
    <xf numFmtId="0" fontId="170" fillId="49" borderId="78" applyNumberFormat="0" applyAlignment="0" applyProtection="0"/>
    <xf numFmtId="0" fontId="170" fillId="49" borderId="78" applyNumberFormat="0" applyAlignment="0" applyProtection="0"/>
    <xf numFmtId="0" fontId="170" fillId="49" borderId="78" applyNumberFormat="0" applyAlignment="0" applyProtection="0"/>
    <xf numFmtId="0" fontId="59" fillId="0" borderId="6" applyFill="0" applyProtection="0">
      <alignment vertical="center" wrapText="1"/>
      <protection locked="0"/>
    </xf>
    <xf numFmtId="278" fontId="171" fillId="0" borderId="0" applyFill="0" applyBorder="0" applyAlignment="0">
      <protection hidden="1"/>
    </xf>
    <xf numFmtId="168" fontId="9" fillId="0" borderId="0" applyFont="0" applyFill="0" applyBorder="0" applyAlignment="0" applyProtection="0"/>
    <xf numFmtId="168" fontId="9" fillId="0" borderId="0" applyFont="0" applyFill="0" applyBorder="0" applyAlignment="0" applyProtection="0"/>
    <xf numFmtId="220" fontId="9" fillId="0" borderId="0" applyFont="0" applyFill="0" applyBorder="0" applyAlignment="0" applyProtection="0"/>
    <xf numFmtId="279" fontId="9" fillId="0" borderId="0" applyFont="0" applyFill="0" applyBorder="0" applyAlignment="0" applyProtection="0"/>
    <xf numFmtId="10" fontId="9" fillId="0" borderId="0" applyFont="0" applyFill="0" applyBorder="0" applyAlignment="0" applyProtection="0"/>
    <xf numFmtId="9" fontId="45" fillId="0" borderId="0" applyFont="0" applyFill="0" applyBorder="0" applyAlignment="0" applyProtection="0"/>
    <xf numFmtId="9" fontId="9" fillId="0" borderId="0" applyFont="0" applyFill="0" applyBorder="0" applyAlignment="0" applyProtection="0"/>
    <xf numFmtId="9" fontId="45" fillId="0" borderId="0" applyFont="0" applyFill="0" applyBorder="0" applyAlignment="0" applyProtection="0"/>
    <xf numFmtId="9" fontId="20"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45" fillId="0" borderId="0" applyFont="0" applyFill="0" applyBorder="0" applyAlignment="0" applyProtection="0"/>
    <xf numFmtId="9" fontId="9" fillId="0" borderId="0" applyFont="0" applyFill="0" applyBorder="0" applyAlignment="0" applyProtection="0"/>
    <xf numFmtId="9" fontId="45"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2"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172" fillId="0" borderId="88"/>
    <xf numFmtId="221" fontId="148" fillId="0" borderId="0" applyFill="0" applyBorder="0" applyAlignment="0"/>
    <xf numFmtId="217" fontId="148" fillId="0" borderId="0" applyFill="0" applyBorder="0" applyAlignment="0"/>
    <xf numFmtId="221" fontId="148" fillId="0" borderId="0" applyFill="0" applyBorder="0" applyAlignment="0"/>
    <xf numFmtId="222" fontId="148" fillId="0" borderId="0" applyFill="0" applyBorder="0" applyAlignment="0"/>
    <xf numFmtId="217" fontId="148" fillId="0" borderId="0" applyFill="0" applyBorder="0" applyAlignment="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102" fillId="0" borderId="0" applyFont="0" applyFill="0" applyBorder="0" applyAlignment="0" applyProtection="0"/>
    <xf numFmtId="37" fontId="9" fillId="0" borderId="0" applyFont="0" applyFill="0" applyBorder="0" applyAlignment="0" applyProtection="0"/>
    <xf numFmtId="213" fontId="9" fillId="0" borderId="0" applyNumberFormat="0" applyFont="0" applyFill="0" applyBorder="0" applyAlignment="0">
      <protection locked="0" hidden="1"/>
    </xf>
    <xf numFmtId="213" fontId="9" fillId="0" borderId="0" applyNumberFormat="0" applyFont="0" applyFill="0" applyBorder="0" applyAlignment="0">
      <protection locked="0" hidden="1"/>
    </xf>
    <xf numFmtId="213" fontId="9" fillId="0" borderId="0" applyNumberFormat="0" applyFont="0" applyFill="0" applyBorder="0" applyAlignment="0"/>
    <xf numFmtId="213" fontId="9" fillId="0" borderId="0" applyNumberFormat="0" applyFont="0" applyFill="0" applyBorder="0" applyAlignment="0"/>
    <xf numFmtId="213" fontId="9" fillId="0" borderId="0" applyNumberFormat="0" applyFont="0" applyFill="0" applyBorder="0" applyAlignment="0">
      <protection hidden="1"/>
    </xf>
    <xf numFmtId="213" fontId="9" fillId="0" borderId="0" applyNumberFormat="0" applyFont="0" applyFill="0" applyBorder="0" applyAlignment="0">
      <protection hidden="1"/>
    </xf>
    <xf numFmtId="213" fontId="9" fillId="0" borderId="0" applyNumberFormat="0" applyFont="0" applyFill="0" applyBorder="0" applyAlignment="0">
      <protection locked="0"/>
    </xf>
    <xf numFmtId="213" fontId="9" fillId="0" borderId="0" applyNumberFormat="0" applyFont="0" applyFill="0" applyBorder="0" applyAlignment="0">
      <protection locked="0"/>
    </xf>
    <xf numFmtId="260" fontId="125" fillId="0" borderId="82">
      <alignment vertical="center"/>
    </xf>
    <xf numFmtId="9" fontId="173" fillId="0" borderId="89" applyFont="0" applyFill="0" applyBorder="0" applyAlignment="0" applyProtection="0">
      <alignment vertical="top" wrapText="1"/>
    </xf>
    <xf numFmtId="280" fontId="174" fillId="0" borderId="82" applyFill="0" applyBorder="0" applyAlignment="0" applyProtection="0">
      <alignment vertical="center"/>
    </xf>
    <xf numFmtId="0" fontId="20" fillId="0" borderId="0" applyNumberFormat="0" applyFont="0" applyFill="0" applyBorder="0" applyAlignment="0" applyProtection="0">
      <alignment horizontal="left"/>
    </xf>
    <xf numFmtId="15" fontId="20" fillId="0" borderId="0" applyFont="0" applyFill="0" applyBorder="0" applyAlignment="0" applyProtection="0"/>
    <xf numFmtId="4" fontId="20" fillId="0" borderId="0" applyFont="0" applyFill="0" applyBorder="0" applyAlignment="0" applyProtection="0"/>
    <xf numFmtId="0" fontId="175" fillId="0" borderId="13">
      <alignment horizontal="center"/>
    </xf>
    <xf numFmtId="3" fontId="20" fillId="0" borderId="0" applyFont="0" applyFill="0" applyBorder="0" applyAlignment="0" applyProtection="0"/>
    <xf numFmtId="0" fontId="20" fillId="98" borderId="0" applyNumberFormat="0" applyFont="0" applyBorder="0" applyAlignment="0" applyProtection="0"/>
    <xf numFmtId="281" fontId="106" fillId="0" borderId="0" applyFont="0" applyFill="0" applyBorder="0" applyAlignment="0" applyProtection="0">
      <alignment horizontal="right"/>
    </xf>
    <xf numFmtId="281" fontId="106" fillId="0" borderId="0" applyFont="0" applyFill="0" applyBorder="0" applyAlignment="0" applyProtection="0">
      <alignment horizontal="right"/>
    </xf>
    <xf numFmtId="49" fontId="44" fillId="0" borderId="0">
      <alignment horizontal="right"/>
    </xf>
    <xf numFmtId="0" fontId="176" fillId="97" borderId="0" applyBorder="0" applyAlignment="0" applyProtection="0"/>
    <xf numFmtId="0" fontId="177" fillId="0" borderId="0" applyFill="0" applyBorder="0">
      <alignment horizontal="right"/>
    </xf>
    <xf numFmtId="0" fontId="9" fillId="0" borderId="0" applyNumberFormat="0" applyFill="0" applyBorder="0">
      <alignment horizontal="left" vertical="center" wrapText="1"/>
    </xf>
    <xf numFmtId="0" fontId="9" fillId="0" borderId="0" applyNumberFormat="0" applyFill="0" applyBorder="0">
      <alignment horizontal="left" vertical="center" wrapText="1"/>
    </xf>
    <xf numFmtId="4" fontId="16" fillId="27" borderId="72" applyNumberFormat="0" applyProtection="0">
      <alignment vertical="center"/>
    </xf>
    <xf numFmtId="4" fontId="92" fillId="12" borderId="78" applyNumberFormat="0" applyProtection="0">
      <alignment vertical="center"/>
    </xf>
    <xf numFmtId="4" fontId="92" fillId="12" borderId="78" applyNumberFormat="0" applyProtection="0">
      <alignment vertical="center"/>
    </xf>
    <xf numFmtId="4" fontId="178" fillId="12" borderId="72" applyNumberFormat="0" applyProtection="0">
      <alignment vertical="center"/>
    </xf>
    <xf numFmtId="4" fontId="179" fillId="12" borderId="78" applyNumberFormat="0" applyProtection="0">
      <alignment vertical="center"/>
    </xf>
    <xf numFmtId="4" fontId="179" fillId="12" borderId="78" applyNumberFormat="0" applyProtection="0">
      <alignment vertical="center"/>
    </xf>
    <xf numFmtId="4" fontId="16" fillId="12" borderId="72" applyNumberFormat="0" applyProtection="0">
      <alignment horizontal="left" vertical="center" indent="1"/>
    </xf>
    <xf numFmtId="4" fontId="92" fillId="12" borderId="78" applyNumberFormat="0" applyProtection="0">
      <alignment horizontal="left" vertical="center" indent="1"/>
    </xf>
    <xf numFmtId="4" fontId="92" fillId="12" borderId="78" applyNumberFormat="0" applyProtection="0">
      <alignment horizontal="left" vertical="center" indent="1"/>
    </xf>
    <xf numFmtId="0" fontId="30" fillId="27" borderId="90" applyNumberFormat="0" applyProtection="0">
      <alignment horizontal="left" vertical="top" indent="1"/>
    </xf>
    <xf numFmtId="4" fontId="92" fillId="12" borderId="78" applyNumberFormat="0" applyProtection="0">
      <alignment horizontal="left" vertical="center" indent="1"/>
    </xf>
    <xf numFmtId="4" fontId="92" fillId="12" borderId="78" applyNumberFormat="0" applyProtection="0">
      <alignment horizontal="left" vertical="center" indent="1"/>
    </xf>
    <xf numFmtId="4" fontId="16" fillId="51" borderId="72" applyNumberFormat="0" applyProtection="0">
      <alignment horizontal="left" vertical="center" indent="1"/>
    </xf>
    <xf numFmtId="0" fontId="9" fillId="29" borderId="78" applyNumberFormat="0" applyProtection="0">
      <alignment horizontal="left" vertical="center" indent="1"/>
    </xf>
    <xf numFmtId="0" fontId="9" fillId="29" borderId="78" applyNumberFormat="0" applyProtection="0">
      <alignment horizontal="left" vertical="center" indent="1"/>
    </xf>
    <xf numFmtId="0" fontId="9" fillId="29" borderId="78" applyNumberFormat="0" applyProtection="0">
      <alignment horizontal="left" vertical="center" indent="1"/>
    </xf>
    <xf numFmtId="4" fontId="16" fillId="76" borderId="72" applyNumberFormat="0" applyProtection="0">
      <alignment horizontal="right" vertical="center"/>
    </xf>
    <xf numFmtId="4" fontId="92" fillId="93" borderId="78" applyNumberFormat="0" applyProtection="0">
      <alignment horizontal="right" vertical="center"/>
    </xf>
    <xf numFmtId="4" fontId="92" fillId="93" borderId="78" applyNumberFormat="0" applyProtection="0">
      <alignment horizontal="right" vertical="center"/>
    </xf>
    <xf numFmtId="4" fontId="16" fillId="16" borderId="72" applyNumberFormat="0" applyProtection="0">
      <alignment horizontal="right" vertical="center"/>
    </xf>
    <xf numFmtId="4" fontId="92" fillId="85" borderId="78" applyNumberFormat="0" applyProtection="0">
      <alignment horizontal="right" vertical="center"/>
    </xf>
    <xf numFmtId="4" fontId="92" fillId="85" borderId="78" applyNumberFormat="0" applyProtection="0">
      <alignment horizontal="right" vertical="center"/>
    </xf>
    <xf numFmtId="4" fontId="16" fillId="99" borderId="91" applyNumberFormat="0" applyProtection="0">
      <alignment horizontal="right" vertical="center"/>
    </xf>
    <xf numFmtId="4" fontId="92" fillId="100" borderId="78" applyNumberFormat="0" applyProtection="0">
      <alignment horizontal="right" vertical="center"/>
    </xf>
    <xf numFmtId="4" fontId="92" fillId="100" borderId="78" applyNumberFormat="0" applyProtection="0">
      <alignment horizontal="right" vertical="center"/>
    </xf>
    <xf numFmtId="4" fontId="16" fillId="101" borderId="72" applyNumberFormat="0" applyProtection="0">
      <alignment horizontal="right" vertical="center"/>
    </xf>
    <xf numFmtId="4" fontId="92" fillId="97" borderId="78" applyNumberFormat="0" applyProtection="0">
      <alignment horizontal="right" vertical="center"/>
    </xf>
    <xf numFmtId="4" fontId="92" fillId="97" borderId="78" applyNumberFormat="0" applyProtection="0">
      <alignment horizontal="right" vertical="center"/>
    </xf>
    <xf numFmtId="4" fontId="16" fillId="102" borderId="72" applyNumberFormat="0" applyProtection="0">
      <alignment horizontal="right" vertical="center"/>
    </xf>
    <xf numFmtId="4" fontId="92" fillId="103" borderId="78" applyNumberFormat="0" applyProtection="0">
      <alignment horizontal="right" vertical="center"/>
    </xf>
    <xf numFmtId="4" fontId="92" fillId="103" borderId="78" applyNumberFormat="0" applyProtection="0">
      <alignment horizontal="right" vertical="center"/>
    </xf>
    <xf numFmtId="4" fontId="16" fillId="104" borderId="72" applyNumberFormat="0" applyProtection="0">
      <alignment horizontal="right" vertical="center"/>
    </xf>
    <xf numFmtId="4" fontId="92" fillId="105" borderId="78" applyNumberFormat="0" applyProtection="0">
      <alignment horizontal="right" vertical="center"/>
    </xf>
    <xf numFmtId="4" fontId="92" fillId="105" borderId="78" applyNumberFormat="0" applyProtection="0">
      <alignment horizontal="right" vertical="center"/>
    </xf>
    <xf numFmtId="4" fontId="16" fillId="106" borderId="72" applyNumberFormat="0" applyProtection="0">
      <alignment horizontal="right" vertical="center"/>
    </xf>
    <xf numFmtId="4" fontId="92" fillId="107" borderId="78" applyNumberFormat="0" applyProtection="0">
      <alignment horizontal="right" vertical="center"/>
    </xf>
    <xf numFmtId="4" fontId="92" fillId="107" borderId="78" applyNumberFormat="0" applyProtection="0">
      <alignment horizontal="right" vertical="center"/>
    </xf>
    <xf numFmtId="4" fontId="16" fillId="108" borderId="72" applyNumberFormat="0" applyProtection="0">
      <alignment horizontal="right" vertical="center"/>
    </xf>
    <xf numFmtId="4" fontId="92" fillId="81" borderId="78" applyNumberFormat="0" applyProtection="0">
      <alignment horizontal="right" vertical="center"/>
    </xf>
    <xf numFmtId="4" fontId="92" fillId="81" borderId="78" applyNumberFormat="0" applyProtection="0">
      <alignment horizontal="right" vertical="center"/>
    </xf>
    <xf numFmtId="4" fontId="16" fillId="109" borderId="72" applyNumberFormat="0" applyProtection="0">
      <alignment horizontal="right" vertical="center"/>
    </xf>
    <xf numFmtId="4" fontId="92" fillId="110" borderId="78" applyNumberFormat="0" applyProtection="0">
      <alignment horizontal="right" vertical="center"/>
    </xf>
    <xf numFmtId="4" fontId="92" fillId="110" borderId="78" applyNumberFormat="0" applyProtection="0">
      <alignment horizontal="right" vertical="center"/>
    </xf>
    <xf numFmtId="4" fontId="16" fillId="111" borderId="91" applyNumberFormat="0" applyProtection="0">
      <alignment horizontal="left" vertical="center" indent="1"/>
    </xf>
    <xf numFmtId="4" fontId="46" fillId="112" borderId="78" applyNumberFormat="0" applyProtection="0">
      <alignment horizontal="left" vertical="center" indent="1"/>
    </xf>
    <xf numFmtId="4" fontId="46" fillId="112" borderId="78" applyNumberFormat="0" applyProtection="0">
      <alignment horizontal="left" vertical="center" indent="1"/>
    </xf>
    <xf numFmtId="4" fontId="9" fillId="71" borderId="91" applyNumberFormat="0" applyProtection="0">
      <alignment horizontal="left" vertical="center" indent="1"/>
    </xf>
    <xf numFmtId="4" fontId="92" fillId="77" borderId="92" applyNumberFormat="0" applyProtection="0">
      <alignment horizontal="left" vertical="center" indent="1"/>
    </xf>
    <xf numFmtId="4" fontId="92" fillId="77" borderId="92" applyNumberFormat="0" applyProtection="0">
      <alignment horizontal="left" vertical="center" indent="1"/>
    </xf>
    <xf numFmtId="4" fontId="9" fillId="71" borderId="91" applyNumberFormat="0" applyProtection="0">
      <alignment horizontal="left" vertical="center" indent="1"/>
    </xf>
    <xf numFmtId="4" fontId="65" fillId="113" borderId="0" applyNumberFormat="0" applyProtection="0">
      <alignment horizontal="left" vertical="center" indent="1"/>
    </xf>
    <xf numFmtId="4" fontId="65" fillId="113" borderId="0" applyNumberFormat="0" applyProtection="0">
      <alignment horizontal="left" vertical="center" indent="1"/>
    </xf>
    <xf numFmtId="4" fontId="16" fillId="114" borderId="72" applyNumberFormat="0" applyProtection="0">
      <alignment horizontal="right" vertical="center"/>
    </xf>
    <xf numFmtId="0" fontId="9" fillId="29" borderId="78" applyNumberFormat="0" applyProtection="0">
      <alignment horizontal="left" vertical="center" indent="1"/>
    </xf>
    <xf numFmtId="0" fontId="9" fillId="29" borderId="78" applyNumberFormat="0" applyProtection="0">
      <alignment horizontal="left" vertical="center" indent="1"/>
    </xf>
    <xf numFmtId="4" fontId="16" fillId="115" borderId="91" applyNumberFormat="0" applyProtection="0">
      <alignment horizontal="left" vertical="center" indent="1"/>
    </xf>
    <xf numFmtId="4" fontId="92" fillId="77" borderId="78" applyNumberFormat="0" applyProtection="0">
      <alignment horizontal="left" vertical="center" indent="1"/>
    </xf>
    <xf numFmtId="4" fontId="92" fillId="77" borderId="78" applyNumberFormat="0" applyProtection="0">
      <alignment horizontal="left" vertical="center" indent="1"/>
    </xf>
    <xf numFmtId="4" fontId="16" fillId="114" borderId="91" applyNumberFormat="0" applyProtection="0">
      <alignment horizontal="left" vertical="center" indent="1"/>
    </xf>
    <xf numFmtId="4" fontId="92" fillId="116" borderId="78" applyNumberFormat="0" applyProtection="0">
      <alignment horizontal="left" vertical="center" indent="1"/>
    </xf>
    <xf numFmtId="4" fontId="92" fillId="116" borderId="78" applyNumberFormat="0" applyProtection="0">
      <alignment horizontal="left" vertical="center" indent="1"/>
    </xf>
    <xf numFmtId="0" fontId="16" fillId="49" borderId="72" applyNumberFormat="0" applyProtection="0">
      <alignment horizontal="left" vertical="center" indent="1"/>
    </xf>
    <xf numFmtId="0" fontId="9" fillId="116" borderId="78" applyNumberFormat="0" applyProtection="0">
      <alignment horizontal="left" vertical="center" indent="1"/>
    </xf>
    <xf numFmtId="0" fontId="9" fillId="116" borderId="78" applyNumberFormat="0" applyProtection="0">
      <alignment horizontal="left" vertical="center" indent="1"/>
    </xf>
    <xf numFmtId="0" fontId="16" fillId="71" borderId="90" applyNumberFormat="0" applyProtection="0">
      <alignment horizontal="left" vertical="top" indent="1"/>
    </xf>
    <xf numFmtId="0" fontId="9" fillId="116" borderId="78" applyNumberFormat="0" applyProtection="0">
      <alignment horizontal="left" vertical="center" indent="1"/>
    </xf>
    <xf numFmtId="0" fontId="9" fillId="116" borderId="78" applyNumberFormat="0" applyProtection="0">
      <alignment horizontal="left" vertical="center" indent="1"/>
    </xf>
    <xf numFmtId="0" fontId="16" fillId="117" borderId="72" applyNumberFormat="0" applyProtection="0">
      <alignment horizontal="left" vertical="center" indent="1"/>
    </xf>
    <xf numFmtId="0" fontId="9" fillId="118" borderId="78" applyNumberFormat="0" applyProtection="0">
      <alignment horizontal="left" vertical="center" indent="1"/>
    </xf>
    <xf numFmtId="0" fontId="9" fillId="118" borderId="78" applyNumberFormat="0" applyProtection="0">
      <alignment horizontal="left" vertical="center" indent="1"/>
    </xf>
    <xf numFmtId="0" fontId="16" fillId="114" borderId="90" applyNumberFormat="0" applyProtection="0">
      <alignment horizontal="left" vertical="top" indent="1"/>
    </xf>
    <xf numFmtId="0" fontId="9" fillId="118" borderId="78" applyNumberFormat="0" applyProtection="0">
      <alignment horizontal="left" vertical="center" indent="1"/>
    </xf>
    <xf numFmtId="0" fontId="9" fillId="118" borderId="78" applyNumberFormat="0" applyProtection="0">
      <alignment horizontal="left" vertical="center" indent="1"/>
    </xf>
    <xf numFmtId="0" fontId="16" fillId="119" borderId="72" applyNumberFormat="0" applyProtection="0">
      <alignment horizontal="left" vertical="center" indent="1"/>
    </xf>
    <xf numFmtId="0" fontId="9" fillId="19" borderId="78" applyNumberFormat="0" applyProtection="0">
      <alignment horizontal="left" vertical="center" indent="1"/>
    </xf>
    <xf numFmtId="0" fontId="9" fillId="19" borderId="78" applyNumberFormat="0" applyProtection="0">
      <alignment horizontal="left" vertical="center" indent="1"/>
    </xf>
    <xf numFmtId="0" fontId="16" fillId="119" borderId="90" applyNumberFormat="0" applyProtection="0">
      <alignment horizontal="left" vertical="top" indent="1"/>
    </xf>
    <xf numFmtId="0" fontId="9" fillId="19" borderId="78" applyNumberFormat="0" applyProtection="0">
      <alignment horizontal="left" vertical="center" indent="1"/>
    </xf>
    <xf numFmtId="0" fontId="9" fillId="19" borderId="78" applyNumberFormat="0" applyProtection="0">
      <alignment horizontal="left" vertical="center" indent="1"/>
    </xf>
    <xf numFmtId="0" fontId="16" fillId="115" borderId="72" applyNumberFormat="0" applyProtection="0">
      <alignment horizontal="left" vertical="center" indent="1"/>
    </xf>
    <xf numFmtId="0" fontId="9" fillId="15" borderId="90" applyNumberFormat="0" applyProtection="0">
      <alignment horizontal="left" vertical="center" indent="1"/>
    </xf>
    <xf numFmtId="0" fontId="9" fillId="15" borderId="90" applyNumberFormat="0" applyProtection="0">
      <alignment horizontal="left" vertical="center" indent="1"/>
    </xf>
    <xf numFmtId="0" fontId="9" fillId="15" borderId="90" applyNumberFormat="0" applyProtection="0">
      <alignment horizontal="left" vertical="center" indent="1"/>
    </xf>
    <xf numFmtId="0" fontId="9" fillId="29" borderId="78" applyNumberFormat="0" applyProtection="0">
      <alignment horizontal="left" vertical="center" indent="1"/>
    </xf>
    <xf numFmtId="0" fontId="9" fillId="15" borderId="90" applyNumberFormat="0" applyProtection="0">
      <alignment horizontal="left" vertical="center" indent="1"/>
    </xf>
    <xf numFmtId="0" fontId="16" fillId="115" borderId="90" applyNumberFormat="0" applyProtection="0">
      <alignment horizontal="left" vertical="top" indent="1"/>
    </xf>
    <xf numFmtId="0" fontId="9" fillId="29" borderId="78" applyNumberFormat="0" applyProtection="0">
      <alignment horizontal="left" vertical="center" indent="1"/>
    </xf>
    <xf numFmtId="0" fontId="9" fillId="29" borderId="78" applyNumberFormat="0" applyProtection="0">
      <alignment horizontal="left" vertical="center" indent="1"/>
    </xf>
    <xf numFmtId="0" fontId="16" fillId="17" borderId="93" applyNumberFormat="0">
      <protection locked="0"/>
    </xf>
    <xf numFmtId="0" fontId="9" fillId="17" borderId="6" applyNumberFormat="0">
      <protection locked="0"/>
    </xf>
    <xf numFmtId="0" fontId="9" fillId="17" borderId="6" applyNumberFormat="0">
      <protection locked="0"/>
    </xf>
    <xf numFmtId="0" fontId="72" fillId="71" borderId="94" applyBorder="0"/>
    <xf numFmtId="4" fontId="67" fillId="96" borderId="90" applyNumberFormat="0" applyProtection="0">
      <alignment vertical="center"/>
    </xf>
    <xf numFmtId="4" fontId="92" fillId="20" borderId="78" applyNumberFormat="0" applyProtection="0">
      <alignment vertical="center"/>
    </xf>
    <xf numFmtId="4" fontId="92" fillId="20" borderId="78" applyNumberFormat="0" applyProtection="0">
      <alignment vertical="center"/>
    </xf>
    <xf numFmtId="4" fontId="178" fillId="20" borderId="6" applyNumberFormat="0" applyProtection="0">
      <alignment vertical="center"/>
    </xf>
    <xf numFmtId="4" fontId="179" fillId="20" borderId="78" applyNumberFormat="0" applyProtection="0">
      <alignment vertical="center"/>
    </xf>
    <xf numFmtId="4" fontId="179" fillId="20" borderId="78" applyNumberFormat="0" applyProtection="0">
      <alignment vertical="center"/>
    </xf>
    <xf numFmtId="4" fontId="67" fillId="49" borderId="90" applyNumberFormat="0" applyProtection="0">
      <alignment horizontal="left" vertical="center" indent="1"/>
    </xf>
    <xf numFmtId="4" fontId="92" fillId="20" borderId="78" applyNumberFormat="0" applyProtection="0">
      <alignment horizontal="left" vertical="center" indent="1"/>
    </xf>
    <xf numFmtId="4" fontId="92" fillId="20" borderId="78" applyNumberFormat="0" applyProtection="0">
      <alignment horizontal="left" vertical="center" indent="1"/>
    </xf>
    <xf numFmtId="0" fontId="67" fillId="96" borderId="90" applyNumberFormat="0" applyProtection="0">
      <alignment horizontal="left" vertical="top" indent="1"/>
    </xf>
    <xf numFmtId="4" fontId="92" fillId="20" borderId="78" applyNumberFormat="0" applyProtection="0">
      <alignment horizontal="left" vertical="center" indent="1"/>
    </xf>
    <xf numFmtId="4" fontId="92" fillId="20" borderId="78" applyNumberFormat="0" applyProtection="0">
      <alignment horizontal="left" vertical="center" indent="1"/>
    </xf>
    <xf numFmtId="4" fontId="16" fillId="0" borderId="72" applyNumberFormat="0" applyProtection="0">
      <alignment horizontal="right" vertical="center"/>
    </xf>
    <xf numFmtId="4" fontId="92" fillId="77" borderId="78" applyNumberFormat="0" applyProtection="0">
      <alignment horizontal="right" vertical="center"/>
    </xf>
    <xf numFmtId="4" fontId="92" fillId="77" borderId="78" applyNumberFormat="0" applyProtection="0">
      <alignment horizontal="right" vertical="center"/>
    </xf>
    <xf numFmtId="4" fontId="178" fillId="13" borderId="72" applyNumberFormat="0" applyProtection="0">
      <alignment horizontal="right" vertical="center"/>
    </xf>
    <xf numFmtId="4" fontId="179" fillId="77" borderId="78" applyNumberFormat="0" applyProtection="0">
      <alignment horizontal="right" vertical="center"/>
    </xf>
    <xf numFmtId="4" fontId="179" fillId="77" borderId="78" applyNumberFormat="0" applyProtection="0">
      <alignment horizontal="right" vertical="center"/>
    </xf>
    <xf numFmtId="4" fontId="16" fillId="51" borderId="72" applyNumberFormat="0" applyProtection="0">
      <alignment horizontal="left" vertical="center" indent="1"/>
    </xf>
    <xf numFmtId="0" fontId="9" fillId="29" borderId="78" applyNumberFormat="0" applyProtection="0">
      <alignment horizontal="left" vertical="center" indent="1"/>
    </xf>
    <xf numFmtId="0" fontId="9" fillId="29" borderId="78" applyNumberFormat="0" applyProtection="0">
      <alignment horizontal="left" vertical="center" indent="1"/>
    </xf>
    <xf numFmtId="4" fontId="92" fillId="114" borderId="90" applyNumberFormat="0" applyProtection="0">
      <alignment horizontal="left" vertical="center" indent="1"/>
    </xf>
    <xf numFmtId="0" fontId="9" fillId="29" borderId="78" applyNumberFormat="0" applyProtection="0">
      <alignment horizontal="left" vertical="center" indent="1"/>
    </xf>
    <xf numFmtId="0" fontId="67" fillId="114" borderId="90" applyNumberFormat="0" applyProtection="0">
      <alignment horizontal="left" vertical="top" indent="1"/>
    </xf>
    <xf numFmtId="0" fontId="9" fillId="29" borderId="78" applyNumberFormat="0" applyProtection="0">
      <alignment horizontal="left" vertical="center" indent="1"/>
    </xf>
    <xf numFmtId="0" fontId="9" fillId="29" borderId="78" applyNumberFormat="0" applyProtection="0">
      <alignment horizontal="left" vertical="center" indent="1"/>
    </xf>
    <xf numFmtId="4" fontId="180" fillId="21" borderId="91" applyNumberFormat="0" applyProtection="0">
      <alignment horizontal="left" vertical="center" indent="1"/>
    </xf>
    <xf numFmtId="0" fontId="181" fillId="0" borderId="0"/>
    <xf numFmtId="0" fontId="181" fillId="0" borderId="0"/>
    <xf numFmtId="0" fontId="16" fillId="120" borderId="6"/>
    <xf numFmtId="0" fontId="16" fillId="120" borderId="6"/>
    <xf numFmtId="4" fontId="182" fillId="17" borderId="72" applyNumberFormat="0" applyProtection="0">
      <alignment horizontal="right" vertical="center"/>
    </xf>
    <xf numFmtId="4" fontId="148" fillId="77" borderId="78" applyNumberFormat="0" applyProtection="0">
      <alignment horizontal="right" vertical="center"/>
    </xf>
    <xf numFmtId="4" fontId="148" fillId="77" borderId="78" applyNumberFormat="0" applyProtection="0">
      <alignment horizontal="right" vertical="center"/>
    </xf>
    <xf numFmtId="0" fontId="183" fillId="0" borderId="0" applyNumberFormat="0" applyFill="0" applyBorder="0" applyAlignment="0" applyProtection="0"/>
    <xf numFmtId="3" fontId="16" fillId="0" borderId="0"/>
    <xf numFmtId="1" fontId="51" fillId="0" borderId="0" applyBorder="0">
      <alignment horizontal="left" vertical="top" wrapText="1"/>
    </xf>
    <xf numFmtId="0" fontId="9" fillId="0" borderId="0"/>
    <xf numFmtId="0" fontId="16" fillId="0" borderId="0"/>
    <xf numFmtId="0" fontId="184" fillId="0" borderId="0"/>
    <xf numFmtId="0" fontId="1" fillId="0" borderId="0"/>
    <xf numFmtId="0" fontId="1" fillId="0" borderId="0"/>
    <xf numFmtId="0" fontId="9" fillId="0" borderId="0"/>
    <xf numFmtId="0" fontId="9" fillId="0" borderId="0"/>
    <xf numFmtId="0" fontId="9" fillId="0" borderId="0"/>
    <xf numFmtId="0" fontId="20" fillId="0" borderId="0"/>
    <xf numFmtId="188" fontId="51" fillId="17" borderId="0"/>
    <xf numFmtId="188" fontId="51" fillId="17" borderId="0"/>
    <xf numFmtId="188" fontId="51" fillId="17" borderId="0"/>
    <xf numFmtId="188" fontId="51" fillId="17" borderId="0"/>
    <xf numFmtId="0" fontId="9" fillId="0" borderId="0"/>
    <xf numFmtId="0" fontId="9" fillId="0" borderId="0"/>
    <xf numFmtId="0" fontId="9" fillId="0" borderId="0"/>
    <xf numFmtId="0" fontId="9" fillId="0" borderId="0"/>
    <xf numFmtId="250" fontId="9" fillId="0" borderId="0"/>
    <xf numFmtId="0" fontId="159" fillId="0" borderId="0"/>
    <xf numFmtId="213" fontId="2" fillId="0" borderId="0" applyNumberFormat="0" applyFill="0" applyBorder="0" applyAlignment="0">
      <protection hidden="1"/>
    </xf>
    <xf numFmtId="213" fontId="2" fillId="0" borderId="0" applyNumberFormat="0" applyFill="0" applyBorder="0" applyAlignment="0">
      <protection hidden="1"/>
    </xf>
    <xf numFmtId="213" fontId="2" fillId="0" borderId="65" applyNumberFormat="0" applyFill="0" applyAlignment="0">
      <protection hidden="1"/>
    </xf>
    <xf numFmtId="213" fontId="2" fillId="0" borderId="65" applyNumberFormat="0" applyFill="0" applyAlignment="0">
      <protection hidden="1"/>
    </xf>
    <xf numFmtId="213" fontId="2" fillId="0" borderId="8" applyNumberFormat="0" applyFill="0" applyAlignment="0">
      <protection hidden="1"/>
    </xf>
    <xf numFmtId="213" fontId="2" fillId="0" borderId="8" applyNumberFormat="0" applyFill="0" applyAlignment="0">
      <protection hidden="1"/>
    </xf>
    <xf numFmtId="213" fontId="2" fillId="0" borderId="77" applyNumberFormat="0" applyFill="0" applyAlignment="0">
      <protection hidden="1"/>
    </xf>
    <xf numFmtId="213" fontId="2" fillId="0" borderId="77" applyNumberFormat="0" applyFill="0" applyAlignment="0">
      <protection hidden="1"/>
    </xf>
    <xf numFmtId="213" fontId="9" fillId="0" borderId="0">
      <protection hidden="1"/>
    </xf>
    <xf numFmtId="213" fontId="9" fillId="0" borderId="0">
      <protection hidden="1"/>
    </xf>
    <xf numFmtId="185" fontId="75" fillId="0" borderId="4" applyBorder="0" applyProtection="0">
      <alignment horizontal="right" vertical="center"/>
    </xf>
    <xf numFmtId="0" fontId="76" fillId="31" borderId="4" applyBorder="0" applyProtection="0">
      <alignment horizontal="centerContinuous" vertical="center"/>
    </xf>
    <xf numFmtId="0" fontId="9" fillId="0" borderId="0"/>
    <xf numFmtId="0" fontId="9" fillId="0" borderId="0"/>
    <xf numFmtId="213" fontId="106" fillId="0" borderId="0" applyNumberFormat="0" applyFont="0" applyFill="0" applyBorder="0">
      <protection hidden="1"/>
    </xf>
    <xf numFmtId="213" fontId="106" fillId="0" borderId="0" applyNumberFormat="0" applyFont="0" applyFill="0" applyBorder="0">
      <alignment horizontal="left" indent="1"/>
      <protection hidden="1"/>
    </xf>
    <xf numFmtId="213" fontId="106" fillId="0" borderId="0" applyNumberFormat="0" applyFont="0" applyFill="0" applyBorder="0">
      <alignment horizontal="left" indent="2"/>
      <protection hidden="1"/>
    </xf>
    <xf numFmtId="213" fontId="106" fillId="0" borderId="0" applyNumberFormat="0" applyFont="0" applyFill="0" applyBorder="0">
      <alignment horizontal="left" indent="3"/>
      <protection hidden="1"/>
    </xf>
    <xf numFmtId="49" fontId="92" fillId="0" borderId="0" applyFill="0" applyBorder="0" applyAlignment="0"/>
    <xf numFmtId="282" fontId="92" fillId="0" borderId="0" applyFill="0" applyBorder="0" applyAlignment="0"/>
    <xf numFmtId="283" fontId="92" fillId="0" borderId="0" applyFill="0" applyBorder="0" applyAlignment="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84" fontId="2" fillId="0" borderId="8" applyFont="0" applyFill="0" applyBorder="0" applyAlignment="0">
      <protection hidden="1"/>
    </xf>
    <xf numFmtId="284" fontId="2" fillId="0" borderId="8" applyFont="0" applyFill="0" applyBorder="0" applyAlignment="0">
      <protection hidden="1"/>
    </xf>
    <xf numFmtId="190" fontId="90" fillId="121" borderId="0" applyNumberFormat="0">
      <alignment vertical="center"/>
    </xf>
    <xf numFmtId="190" fontId="185" fillId="29" borderId="0" applyNumberFormat="0">
      <alignment vertical="center"/>
    </xf>
    <xf numFmtId="190" fontId="91" fillId="0" borderId="0" applyNumberFormat="0">
      <alignment vertical="center"/>
    </xf>
    <xf numFmtId="190" fontId="186" fillId="0" borderId="0" applyNumberFormat="0">
      <alignment vertical="center"/>
    </xf>
    <xf numFmtId="1" fontId="2" fillId="0" borderId="18" applyNumberFormat="0" applyProtection="0">
      <alignment horizontal="left" vertical="center"/>
    </xf>
    <xf numFmtId="0" fontId="129" fillId="0" borderId="95" applyNumberFormat="0" applyFill="0" applyAlignment="0" applyProtection="0"/>
    <xf numFmtId="3" fontId="6" fillId="0" borderId="4" applyNumberFormat="0"/>
    <xf numFmtId="14" fontId="9" fillId="19" borderId="96" applyFont="0" applyFill="0" applyBorder="0" applyAlignment="0" applyProtection="0">
      <alignment horizontal="center" vertical="top" wrapText="1"/>
    </xf>
    <xf numFmtId="285" fontId="9" fillId="0" borderId="0" applyFont="0" applyFill="0" applyBorder="0" applyAlignment="0">
      <protection hidden="1"/>
    </xf>
    <xf numFmtId="285" fontId="9" fillId="0" borderId="0" applyFont="0" applyFill="0" applyBorder="0" applyAlignment="0">
      <protection hidden="1"/>
    </xf>
    <xf numFmtId="259" fontId="187" fillId="0" borderId="0">
      <alignment horizontal="left" vertical="center"/>
    </xf>
    <xf numFmtId="0" fontId="188" fillId="0" borderId="0">
      <alignment vertical="center"/>
    </xf>
    <xf numFmtId="259" fontId="189" fillId="0" borderId="0">
      <alignment horizontal="left" vertical="center"/>
    </xf>
    <xf numFmtId="195" fontId="190" fillId="0" borderId="0">
      <alignment horizontal="left" vertical="center"/>
    </xf>
    <xf numFmtId="0" fontId="168" fillId="0" borderId="0"/>
    <xf numFmtId="286" fontId="106" fillId="0" borderId="0" applyFont="0" applyFill="0" applyBorder="0" applyAlignment="0">
      <protection hidden="1"/>
    </xf>
    <xf numFmtId="287" fontId="106" fillId="0" borderId="0" applyFont="0" applyFill="0" applyBorder="0" applyAlignment="0">
      <protection hidden="1"/>
    </xf>
    <xf numFmtId="37" fontId="9" fillId="0" borderId="0" applyFont="0" applyFill="0" applyBorder="0" applyAlignment="0" applyProtection="0"/>
    <xf numFmtId="231" fontId="16" fillId="0" borderId="0" applyFont="0" applyFill="0" applyBorder="0" applyAlignment="0" applyProtection="0"/>
    <xf numFmtId="44" fontId="45" fillId="0" borderId="0" applyFont="0" applyFill="0" applyBorder="0" applyAlignment="0" applyProtection="0"/>
    <xf numFmtId="231" fontId="9" fillId="0" borderId="0" applyFont="0" applyFill="0" applyBorder="0" applyAlignment="0" applyProtection="0"/>
    <xf numFmtId="44" fontId="45" fillId="0" borderId="0" applyFont="0" applyFill="0" applyBorder="0" applyAlignment="0" applyProtection="0"/>
    <xf numFmtId="0" fontId="9" fillId="0" borderId="0" applyNumberFormat="0">
      <alignment horizontal="center" textRotation="90"/>
    </xf>
    <xf numFmtId="0" fontId="9" fillId="0" borderId="0" applyNumberFormat="0">
      <alignment horizontal="center" textRotation="90"/>
    </xf>
    <xf numFmtId="0" fontId="9" fillId="0" borderId="0" applyNumberFormat="0">
      <alignment horizontal="center" textRotation="90"/>
    </xf>
    <xf numFmtId="0" fontId="9" fillId="0" borderId="0" applyNumberFormat="0">
      <alignment horizontal="center" textRotation="90"/>
    </xf>
    <xf numFmtId="288" fontId="20" fillId="0" borderId="0" applyFont="0" applyFill="0" applyBorder="0" applyAlignment="0" applyProtection="0"/>
    <xf numFmtId="289" fontId="20" fillId="0" borderId="0" applyFont="0" applyFill="0" applyBorder="0" applyAlignment="0" applyProtection="0"/>
    <xf numFmtId="0" fontId="191" fillId="0" borderId="0" applyNumberFormat="0" applyFill="0" applyBorder="0" applyAlignment="0" applyProtection="0"/>
    <xf numFmtId="0" fontId="104" fillId="0" borderId="0" applyNumberFormat="0" applyFont="0" applyFill="0" applyBorder="0" applyProtection="0">
      <alignment horizontal="center" vertical="center" wrapText="1"/>
    </xf>
    <xf numFmtId="213" fontId="9" fillId="0" borderId="0" applyNumberFormat="0" applyFont="0" applyFill="0" applyBorder="0">
      <alignment wrapText="1"/>
      <protection hidden="1"/>
    </xf>
    <xf numFmtId="213" fontId="9" fillId="0" borderId="0" applyNumberFormat="0" applyFont="0" applyFill="0" applyBorder="0">
      <alignment wrapText="1"/>
      <protection hidden="1"/>
    </xf>
    <xf numFmtId="290" fontId="2" fillId="0" borderId="13">
      <protection hidden="1"/>
    </xf>
    <xf numFmtId="290" fontId="2" fillId="0" borderId="13">
      <protection hidden="1"/>
    </xf>
    <xf numFmtId="291" fontId="2" fillId="0" borderId="13">
      <protection hidden="1"/>
    </xf>
    <xf numFmtId="291" fontId="2" fillId="0" borderId="13">
      <protection hidden="1"/>
    </xf>
    <xf numFmtId="203" fontId="80" fillId="0" borderId="4" applyBorder="0" applyProtection="0">
      <alignment horizontal="right"/>
    </xf>
    <xf numFmtId="203" fontId="80" fillId="0" borderId="4" applyBorder="0" applyProtection="0">
      <alignment horizontal="right"/>
    </xf>
    <xf numFmtId="203" fontId="80" fillId="0" borderId="4" applyBorder="0" applyProtection="0">
      <alignment horizontal="right"/>
    </xf>
    <xf numFmtId="203" fontId="80" fillId="0" borderId="4" applyBorder="0" applyProtection="0">
      <alignment horizontal="right"/>
    </xf>
    <xf numFmtId="1" fontId="192" fillId="0" borderId="0"/>
    <xf numFmtId="0" fontId="2" fillId="0" borderId="13">
      <protection hidden="1"/>
    </xf>
    <xf numFmtId="292" fontId="9" fillId="0" borderId="0" applyFont="0" applyFill="0" applyBorder="0" applyAlignment="0">
      <protection hidden="1"/>
    </xf>
    <xf numFmtId="292" fontId="9" fillId="0" borderId="0" applyFont="0" applyFill="0" applyBorder="0" applyAlignment="0">
      <protection hidden="1"/>
    </xf>
    <xf numFmtId="293" fontId="9" fillId="0" borderId="0" applyFont="0" applyFill="0" applyBorder="0" applyAlignment="0">
      <protection hidden="1"/>
    </xf>
    <xf numFmtId="293" fontId="9" fillId="0" borderId="0" applyFont="0" applyFill="0" applyBorder="0" applyAlignment="0">
      <protection hidden="1"/>
    </xf>
    <xf numFmtId="4" fontId="16" fillId="20" borderId="19"/>
    <xf numFmtId="4" fontId="16" fillId="20" borderId="19"/>
    <xf numFmtId="171" fontId="9" fillId="0" borderId="0" applyFont="0" applyFill="0" applyBorder="0" applyAlignment="0" applyProtection="0"/>
    <xf numFmtId="43" fontId="1" fillId="0" borderId="0" applyFont="0" applyFill="0" applyBorder="0" applyAlignment="0" applyProtection="0"/>
    <xf numFmtId="0" fontId="208" fillId="0" borderId="0"/>
    <xf numFmtId="3" fontId="9" fillId="0" borderId="0"/>
    <xf numFmtId="0" fontId="9" fillId="0" borderId="0">
      <alignment vertical="top"/>
    </xf>
    <xf numFmtId="0" fontId="209" fillId="0" borderId="0"/>
    <xf numFmtId="0" fontId="9" fillId="0" borderId="0"/>
    <xf numFmtId="0" fontId="9" fillId="0" borderId="0"/>
    <xf numFmtId="0" fontId="9" fillId="0" borderId="0">
      <alignment vertical="top"/>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11"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15" fillId="0" borderId="0"/>
    <xf numFmtId="0" fontId="9" fillId="0" borderId="0"/>
    <xf numFmtId="0" fontId="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295" fontId="9" fillId="0" borderId="0"/>
    <xf numFmtId="0" fontId="9" fillId="0" borderId="0">
      <alignment vertical="top"/>
    </xf>
    <xf numFmtId="0" fontId="9" fillId="0" borderId="0"/>
    <xf numFmtId="0" fontId="9" fillId="0" borderId="0"/>
    <xf numFmtId="10" fontId="210" fillId="0" borderId="0"/>
    <xf numFmtId="0" fontId="9" fillId="0" borderId="0"/>
    <xf numFmtId="0" fontId="11" fillId="0" borderId="0"/>
    <xf numFmtId="0" fontId="11" fillId="0" borderId="0"/>
    <xf numFmtId="0" fontId="11" fillId="0" borderId="0"/>
    <xf numFmtId="0" fontId="11" fillId="0" borderId="0"/>
    <xf numFmtId="0" fontId="11" fillId="0" borderId="0"/>
    <xf numFmtId="10" fontId="210" fillId="0" borderId="0"/>
    <xf numFmtId="9" fontId="11" fillId="0" borderId="0"/>
    <xf numFmtId="9" fontId="11" fillId="0" borderId="0"/>
    <xf numFmtId="0" fontId="11" fillId="0" borderId="0"/>
    <xf numFmtId="0" fontId="11" fillId="0" borderId="0"/>
    <xf numFmtId="10" fontId="11" fillId="0" borderId="0"/>
    <xf numFmtId="10" fontId="11" fillId="0" borderId="0"/>
    <xf numFmtId="0" fontId="9" fillId="0" borderId="0"/>
    <xf numFmtId="0" fontId="9" fillId="0" borderId="0" applyFont="0" applyFill="0" applyBorder="0" applyAlignment="0" applyProtection="0"/>
    <xf numFmtId="0" fontId="9" fillId="0" borderId="0" applyFont="0" applyFill="0" applyBorder="0" applyAlignment="0" applyProtection="0"/>
    <xf numFmtId="0" fontId="9"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295" fontId="9"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44"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295"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0" fontId="18"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18"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44" fillId="0" borderId="0"/>
    <xf numFmtId="3" fontId="44"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211" fillId="0" borderId="0"/>
    <xf numFmtId="0" fontId="211" fillId="0" borderId="0"/>
    <xf numFmtId="0" fontId="211" fillId="0" borderId="0"/>
    <xf numFmtId="0" fontId="18" fillId="0" borderId="0" applyProtection="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211" fillId="0" borderId="0"/>
    <xf numFmtId="0" fontId="2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18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3" fontId="44" fillId="0" borderId="0"/>
    <xf numFmtId="0" fontId="18" fillId="0" borderId="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296"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297"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9" fontId="9" fillId="0" borderId="0" applyFont="0" applyFill="0" applyBorder="0" applyAlignment="0" applyProtection="0"/>
    <xf numFmtId="39" fontId="9" fillId="0" borderId="0" applyFont="0" applyFill="0" applyBorder="0" applyAlignment="0" applyProtection="0"/>
    <xf numFmtId="39" fontId="9" fillId="0" borderId="0" applyFont="0" applyFill="0" applyBorder="0" applyAlignment="0" applyProtection="0"/>
    <xf numFmtId="39" fontId="9" fillId="0" borderId="0" applyFont="0" applyFill="0" applyBorder="0" applyAlignment="0" applyProtection="0"/>
    <xf numFmtId="39" fontId="9" fillId="0" borderId="0" applyFont="0" applyFill="0" applyBorder="0" applyAlignment="0" applyProtection="0"/>
    <xf numFmtId="39" fontId="9" fillId="0" borderId="0" applyFont="0" applyFill="0" applyBorder="0" applyAlignment="0" applyProtection="0"/>
    <xf numFmtId="39" fontId="9" fillId="0" borderId="0" applyFont="0" applyFill="0" applyBorder="0" applyAlignment="0" applyProtection="0"/>
    <xf numFmtId="0" fontId="18"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Protection="0">
      <alignment vertical="center"/>
    </xf>
    <xf numFmtId="0" fontId="9" fillId="0" borderId="0" applyFill="0" applyBorder="0" applyProtection="0">
      <alignment vertical="center"/>
    </xf>
    <xf numFmtId="0" fontId="9" fillId="0" borderId="0" applyFill="0" applyBorder="0" applyProtection="0">
      <alignment vertical="center"/>
    </xf>
    <xf numFmtId="0" fontId="9" fillId="0" borderId="0" applyFill="0" applyBorder="0" applyProtection="0">
      <alignment vertical="center"/>
    </xf>
    <xf numFmtId="0" fontId="18"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295"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15"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0" fontId="18" fillId="0" borderId="0"/>
    <xf numFmtId="0" fontId="211"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18"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11" fillId="0" borderId="0"/>
    <xf numFmtId="0" fontId="211" fillId="0" borderId="0"/>
    <xf numFmtId="0" fontId="211"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1" fillId="0" borderId="0" applyFill="0" applyBorder="0" applyProtection="0">
      <alignment vertical="center"/>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29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296"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299"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29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18" fillId="0" borderId="0"/>
    <xf numFmtId="0" fontId="18" fillId="0" borderId="0"/>
    <xf numFmtId="3" fontId="9" fillId="0" borderId="0"/>
    <xf numFmtId="3" fontId="9" fillId="0" borderId="0"/>
    <xf numFmtId="3" fontId="9" fillId="0" borderId="0"/>
    <xf numFmtId="0" fontId="15" fillId="0" borderId="0"/>
    <xf numFmtId="0" fontId="9" fillId="0" borderId="0"/>
    <xf numFmtId="0" fontId="9" fillId="0" borderId="0"/>
    <xf numFmtId="0" fontId="9" fillId="0" borderId="0"/>
    <xf numFmtId="0" fontId="9" fillId="0" borderId="0"/>
    <xf numFmtId="0" fontId="9" fillId="0" borderId="0"/>
    <xf numFmtId="0" fontId="18" fillId="0" borderId="0"/>
    <xf numFmtId="0" fontId="18" fillId="0" borderId="0"/>
    <xf numFmtId="0" fontId="211" fillId="0" borderId="0"/>
    <xf numFmtId="0" fontId="211" fillId="0" borderId="0"/>
    <xf numFmtId="0" fontId="9" fillId="0" borderId="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0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299"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01"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30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18" fillId="0" borderId="0"/>
    <xf numFmtId="0" fontId="18" fillId="0" borderId="0"/>
    <xf numFmtId="3" fontId="9"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15"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295" fontId="15"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18" fillId="0" borderId="0"/>
    <xf numFmtId="0" fontId="9" fillId="0" borderId="0"/>
    <xf numFmtId="0" fontId="9" fillId="0" borderId="0"/>
    <xf numFmtId="0" fontId="9" fillId="0" borderId="0"/>
    <xf numFmtId="0" fontId="9" fillId="0" borderId="0"/>
    <xf numFmtId="295"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3"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5" fillId="0" borderId="0"/>
    <xf numFmtId="0" fontId="18" fillId="0" borderId="0"/>
    <xf numFmtId="0" fontId="18"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15" fillId="0" borderId="0"/>
    <xf numFmtId="3" fontId="9" fillId="0" borderId="0"/>
    <xf numFmtId="3" fontId="9" fillId="0" borderId="0"/>
    <xf numFmtId="3" fontId="9" fillId="0" borderId="0"/>
    <xf numFmtId="3"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7" fillId="0" borderId="0" applyNumberFormat="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applyFill="0" applyBorder="0" applyAlignment="0" applyProtection="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295"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20" fillId="0" borderId="0"/>
    <xf numFmtId="9" fontId="9" fillId="0" borderId="0"/>
    <xf numFmtId="9" fontId="9" fillId="0" borderId="0"/>
    <xf numFmtId="9" fontId="9" fillId="0" borderId="0"/>
    <xf numFmtId="9" fontId="9" fillId="0" borderId="0"/>
    <xf numFmtId="9" fontId="9" fillId="0" borderId="0"/>
    <xf numFmtId="9" fontId="9" fillId="0" borderId="0"/>
    <xf numFmtId="9"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20" fillId="0" borderId="0"/>
    <xf numFmtId="0" fontId="20" fillId="0" borderId="0"/>
    <xf numFmtId="0" fontId="20" fillId="0" borderId="0"/>
    <xf numFmtId="2" fontId="20" fillId="0" borderId="0"/>
    <xf numFmtId="10" fontId="20" fillId="0" borderId="0"/>
    <xf numFmtId="0" fontId="212" fillId="0" borderId="109" applyFont="0" applyFill="0" applyBorder="0" applyAlignment="0" applyProtection="0"/>
    <xf numFmtId="0" fontId="20" fillId="0" borderId="0"/>
    <xf numFmtId="0" fontId="20" fillId="0" borderId="0"/>
    <xf numFmtId="0" fontId="20" fillId="0" borderId="0"/>
    <xf numFmtId="0" fontId="20" fillId="0" borderId="0"/>
    <xf numFmtId="0" fontId="20" fillId="0" borderId="0"/>
    <xf numFmtId="302" fontId="20" fillId="0" borderId="0"/>
    <xf numFmtId="0" fontId="11" fillId="0" borderId="0"/>
    <xf numFmtId="0" fontId="11" fillId="0" borderId="0"/>
    <xf numFmtId="0" fontId="11" fillId="0" borderId="0"/>
    <xf numFmtId="190" fontId="11" fillId="0" borderId="0"/>
    <xf numFmtId="0" fontId="11" fillId="0" borderId="0"/>
    <xf numFmtId="0" fontId="11" fillId="0" borderId="0"/>
    <xf numFmtId="0" fontId="11" fillId="0" borderId="0"/>
    <xf numFmtId="0" fontId="11" fillId="0" borderId="0"/>
    <xf numFmtId="0" fontId="11" fillId="0" borderId="0"/>
    <xf numFmtId="190" fontId="11" fillId="0" borderId="0"/>
    <xf numFmtId="0" fontId="11" fillId="0" borderId="0"/>
    <xf numFmtId="0" fontId="11" fillId="0" borderId="0"/>
    <xf numFmtId="0" fontId="20" fillId="0" borderId="0"/>
    <xf numFmtId="0" fontId="20" fillId="0" borderId="0"/>
    <xf numFmtId="0" fontId="20" fillId="0" borderId="0"/>
    <xf numFmtId="303" fontId="20" fillId="0" borderId="0"/>
    <xf numFmtId="0" fontId="20" fillId="0" borderId="0"/>
    <xf numFmtId="0" fontId="20" fillId="0" borderId="0"/>
    <xf numFmtId="0" fontId="20" fillId="0" borderId="0"/>
    <xf numFmtId="0" fontId="20" fillId="0" borderId="0"/>
    <xf numFmtId="0" fontId="107" fillId="0" borderId="0">
      <alignment horizontal="left"/>
    </xf>
    <xf numFmtId="0" fontId="108" fillId="0" borderId="0">
      <alignment horizontal="left"/>
    </xf>
    <xf numFmtId="0" fontId="45" fillId="132"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45" fillId="132" borderId="0" applyNumberFormat="0" applyBorder="0" applyAlignment="0" applyProtection="0"/>
    <xf numFmtId="0" fontId="45" fillId="76"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1" fillId="41" borderId="0" applyNumberFormat="0" applyBorder="0" applyAlignment="0" applyProtection="0"/>
    <xf numFmtId="0" fontId="45" fillId="76" borderId="0" applyNumberFormat="0" applyBorder="0" applyAlignment="0" applyProtection="0"/>
    <xf numFmtId="0" fontId="45" fillId="13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45" fillId="133" borderId="0" applyNumberFormat="0" applyBorder="0" applyAlignment="0" applyProtection="0"/>
    <xf numFmtId="0" fontId="45" fillId="50"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1" fillId="45" borderId="0" applyNumberFormat="0" applyBorder="0" applyAlignment="0" applyProtection="0"/>
    <xf numFmtId="0" fontId="45" fillId="50" borderId="0" applyNumberFormat="0" applyBorder="0" applyAlignment="0" applyProtection="0"/>
    <xf numFmtId="0" fontId="45" fillId="134"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45" fillId="134" borderId="0" applyNumberFormat="0" applyBorder="0" applyAlignment="0" applyProtection="0"/>
    <xf numFmtId="0" fontId="45" fillId="28" borderId="0" applyNumberFormat="0" applyBorder="0" applyAlignment="0" applyProtection="0"/>
    <xf numFmtId="0" fontId="1" fillId="48" borderId="0" applyNumberFormat="0" applyBorder="0" applyAlignment="0" applyProtection="0"/>
    <xf numFmtId="0" fontId="1" fillId="48" borderId="0" applyNumberFormat="0" applyBorder="0" applyAlignment="0" applyProtection="0"/>
    <xf numFmtId="0" fontId="1" fillId="48" borderId="0" applyNumberFormat="0" applyBorder="0" applyAlignment="0" applyProtection="0"/>
    <xf numFmtId="0" fontId="45" fillId="28" borderId="0" applyNumberFormat="0" applyBorder="0" applyAlignment="0" applyProtection="0"/>
    <xf numFmtId="304" fontId="22" fillId="0" borderId="110">
      <alignment horizontal="left"/>
    </xf>
    <xf numFmtId="0" fontId="45" fillId="119" borderId="0" applyNumberFormat="0" applyBorder="0" applyAlignment="0" applyProtection="0"/>
    <xf numFmtId="0" fontId="1" fillId="128" borderId="0" applyNumberFormat="0" applyBorder="0" applyAlignment="0" applyProtection="0"/>
    <xf numFmtId="0" fontId="1" fillId="128" borderId="0" applyNumberFormat="0" applyBorder="0" applyAlignment="0" applyProtection="0"/>
    <xf numFmtId="0" fontId="1" fillId="128" borderId="0" applyNumberFormat="0" applyBorder="0" applyAlignment="0" applyProtection="0"/>
    <xf numFmtId="0" fontId="45" fillId="119" borderId="0" applyNumberFormat="0" applyBorder="0" applyAlignment="0" applyProtection="0"/>
    <xf numFmtId="0" fontId="45" fillId="135"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45" fillId="135" borderId="0" applyNumberFormat="0" applyBorder="0" applyAlignment="0" applyProtection="0"/>
    <xf numFmtId="0" fontId="45" fillId="109"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45" fillId="109" borderId="0" applyNumberFormat="0" applyBorder="0" applyAlignment="0" applyProtection="0"/>
    <xf numFmtId="0" fontId="45" fillId="50" borderId="0" applyNumberFormat="0" applyBorder="0" applyAlignment="0" applyProtection="0"/>
    <xf numFmtId="0" fontId="1" fillId="129" borderId="0" applyNumberFormat="0" applyBorder="0" applyAlignment="0" applyProtection="0"/>
    <xf numFmtId="0" fontId="1" fillId="129" borderId="0" applyNumberFormat="0" applyBorder="0" applyAlignment="0" applyProtection="0"/>
    <xf numFmtId="0" fontId="1" fillId="129" borderId="0" applyNumberFormat="0" applyBorder="0" applyAlignment="0" applyProtection="0"/>
    <xf numFmtId="0" fontId="45" fillId="50" borderId="0" applyNumberFormat="0" applyBorder="0" applyAlignment="0" applyProtection="0"/>
    <xf numFmtId="0" fontId="45" fillId="119"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45" fillId="119" borderId="0" applyNumberFormat="0" applyBorder="0" applyAlignment="0" applyProtection="0"/>
    <xf numFmtId="0" fontId="45" fillId="101" borderId="0" applyNumberFormat="0" applyBorder="0" applyAlignment="0" applyProtection="0"/>
    <xf numFmtId="0" fontId="1" fillId="130" borderId="0" applyNumberFormat="0" applyBorder="0" applyAlignment="0" applyProtection="0"/>
    <xf numFmtId="0" fontId="1" fillId="130" borderId="0" applyNumberFormat="0" applyBorder="0" applyAlignment="0" applyProtection="0"/>
    <xf numFmtId="0" fontId="1" fillId="130" borderId="0" applyNumberFormat="0" applyBorder="0" applyAlignment="0" applyProtection="0"/>
    <xf numFmtId="0" fontId="45" fillId="101" borderId="0" applyNumberFormat="0" applyBorder="0" applyAlignment="0" applyProtection="0"/>
    <xf numFmtId="305" fontId="22" fillId="0" borderId="110">
      <alignment horizontal="left"/>
    </xf>
    <xf numFmtId="306" fontId="22" fillId="0" borderId="110">
      <alignment horizontal="left"/>
    </xf>
    <xf numFmtId="0" fontId="109" fillId="136" borderId="0" applyNumberFormat="0" applyBorder="0" applyAlignment="0" applyProtection="0"/>
    <xf numFmtId="0" fontId="109" fillId="136" borderId="0" applyNumberFormat="0" applyBorder="0" applyAlignment="0" applyProtection="0"/>
    <xf numFmtId="0" fontId="109" fillId="136" borderId="0" applyNumberFormat="0" applyBorder="0" applyAlignment="0" applyProtection="0"/>
    <xf numFmtId="0" fontId="109" fillId="135" borderId="0" applyNumberFormat="0" applyBorder="0" applyAlignment="0" applyProtection="0"/>
    <xf numFmtId="0" fontId="109" fillId="135" borderId="0" applyNumberFormat="0" applyBorder="0" applyAlignment="0" applyProtection="0"/>
    <xf numFmtId="0" fontId="109" fillId="135" borderId="0" applyNumberFormat="0" applyBorder="0" applyAlignment="0" applyProtection="0"/>
    <xf numFmtId="0" fontId="109" fillId="109" borderId="0" applyNumberFormat="0" applyBorder="0" applyAlignment="0" applyProtection="0"/>
    <xf numFmtId="0" fontId="109" fillId="109" borderId="0" applyNumberFormat="0" applyBorder="0" applyAlignment="0" applyProtection="0"/>
    <xf numFmtId="0" fontId="109" fillId="109" borderId="0" applyNumberFormat="0" applyBorder="0" applyAlignment="0" applyProtection="0"/>
    <xf numFmtId="0" fontId="109" fillId="137" borderId="0" applyNumberFormat="0" applyBorder="0" applyAlignment="0" applyProtection="0"/>
    <xf numFmtId="0" fontId="109" fillId="137" borderId="0" applyNumberFormat="0" applyBorder="0" applyAlignment="0" applyProtection="0"/>
    <xf numFmtId="0" fontId="109" fillId="137" borderId="0" applyNumberFormat="0" applyBorder="0" applyAlignment="0" applyProtection="0"/>
    <xf numFmtId="0" fontId="109" fillId="51" borderId="0" applyNumberFormat="0" applyBorder="0" applyAlignment="0" applyProtection="0"/>
    <xf numFmtId="0" fontId="109" fillId="51" borderId="0" applyNumberFormat="0" applyBorder="0" applyAlignment="0" applyProtection="0"/>
    <xf numFmtId="0" fontId="109" fillId="51" borderId="0" applyNumberFormat="0" applyBorder="0" applyAlignment="0" applyProtection="0"/>
    <xf numFmtId="0" fontId="109" fillId="102" borderId="0" applyNumberFormat="0" applyBorder="0" applyAlignment="0" applyProtection="0"/>
    <xf numFmtId="0" fontId="109" fillId="102" borderId="0" applyNumberFormat="0" applyBorder="0" applyAlignment="0" applyProtection="0"/>
    <xf numFmtId="0" fontId="109" fillId="102" borderId="0" applyNumberFormat="0" applyBorder="0" applyAlignment="0" applyProtection="0"/>
    <xf numFmtId="37" fontId="213" fillId="0" borderId="0">
      <alignment horizontal="center"/>
    </xf>
    <xf numFmtId="307" fontId="22" fillId="0" borderId="110">
      <alignment horizontal="left"/>
    </xf>
    <xf numFmtId="0" fontId="109" fillId="138" borderId="0" applyNumberFormat="0" applyBorder="0" applyAlignment="0" applyProtection="0"/>
    <xf numFmtId="0" fontId="109" fillId="138" borderId="0" applyNumberFormat="0" applyBorder="0" applyAlignment="0" applyProtection="0"/>
    <xf numFmtId="0" fontId="109" fillId="99" borderId="0" applyNumberFormat="0" applyBorder="0" applyAlignment="0" applyProtection="0"/>
    <xf numFmtId="0" fontId="109" fillId="99" borderId="0" applyNumberFormat="0" applyBorder="0" applyAlignment="0" applyProtection="0"/>
    <xf numFmtId="0" fontId="109" fillId="106" borderId="0" applyNumberFormat="0" applyBorder="0" applyAlignment="0" applyProtection="0"/>
    <xf numFmtId="0" fontId="109" fillId="106" borderId="0" applyNumberFormat="0" applyBorder="0" applyAlignment="0" applyProtection="0"/>
    <xf numFmtId="0" fontId="109" fillId="137" borderId="0" applyNumberFormat="0" applyBorder="0" applyAlignment="0" applyProtection="0"/>
    <xf numFmtId="0" fontId="109" fillId="137" borderId="0" applyNumberFormat="0" applyBorder="0" applyAlignment="0" applyProtection="0"/>
    <xf numFmtId="0" fontId="109" fillId="51" borderId="0" applyNumberFormat="0" applyBorder="0" applyAlignment="0" applyProtection="0"/>
    <xf numFmtId="0" fontId="109" fillId="51" borderId="0" applyNumberFormat="0" applyBorder="0" applyAlignment="0" applyProtection="0"/>
    <xf numFmtId="0" fontId="109" fillId="104" borderId="0" applyNumberFormat="0" applyBorder="0" applyAlignment="0" applyProtection="0"/>
    <xf numFmtId="0" fontId="109" fillId="104" borderId="0" applyNumberFormat="0" applyBorder="0" applyAlignment="0" applyProtection="0"/>
    <xf numFmtId="0" fontId="214" fillId="0" borderId="4" applyFont="0">
      <alignment horizontal="centerContinuous"/>
    </xf>
    <xf numFmtId="0" fontId="215" fillId="0" borderId="0"/>
    <xf numFmtId="9" fontId="210" fillId="0" borderId="0"/>
    <xf numFmtId="0" fontId="210" fillId="0" borderId="0"/>
    <xf numFmtId="0" fontId="210" fillId="0" borderId="0"/>
    <xf numFmtId="0" fontId="210" fillId="0" borderId="0"/>
    <xf numFmtId="0" fontId="210"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1" fillId="0" borderId="0"/>
    <xf numFmtId="0" fontId="11" fillId="0" borderId="0"/>
    <xf numFmtId="0" fontId="216" fillId="76" borderId="0" applyNumberFormat="0" applyBorder="0" applyAlignment="0" applyProtection="0"/>
    <xf numFmtId="0" fontId="202" fillId="125" borderId="0" applyNumberFormat="0" applyBorder="0" applyAlignment="0" applyProtection="0"/>
    <xf numFmtId="0" fontId="16" fillId="0" borderId="82"/>
    <xf numFmtId="0" fontId="16" fillId="0" borderId="82"/>
    <xf numFmtId="0" fontId="72" fillId="0" borderId="16"/>
    <xf numFmtId="0" fontId="9" fillId="0" borderId="111"/>
    <xf numFmtId="0" fontId="9" fillId="0" borderId="111"/>
    <xf numFmtId="0" fontId="9" fillId="0" borderId="111"/>
    <xf numFmtId="0" fontId="9" fillId="0" borderId="111"/>
    <xf numFmtId="0" fontId="9" fillId="0" borderId="111"/>
    <xf numFmtId="0" fontId="9" fillId="0" borderId="111"/>
    <xf numFmtId="0" fontId="9" fillId="0" borderId="111"/>
    <xf numFmtId="0" fontId="16" fillId="0" borderId="82"/>
    <xf numFmtId="0" fontId="112" fillId="0" borderId="0">
      <alignment vertical="center"/>
      <protection locked="0"/>
    </xf>
    <xf numFmtId="0" fontId="217" fillId="49" borderId="112" applyNumberFormat="0" applyAlignment="0" applyProtection="0"/>
    <xf numFmtId="38" fontId="218" fillId="0" borderId="0" applyNumberFormat="0" applyFill="0" applyBorder="0" applyAlignment="0" applyProtection="0"/>
    <xf numFmtId="0" fontId="16" fillId="29" borderId="0"/>
    <xf numFmtId="0" fontId="219" fillId="0" borderId="0" applyNumberFormat="0" applyFill="0" applyBorder="0" applyAlignment="0" applyProtection="0"/>
    <xf numFmtId="0" fontId="11" fillId="0" borderId="0"/>
    <xf numFmtId="0" fontId="11" fillId="0" borderId="0"/>
    <xf numFmtId="0" fontId="220" fillId="0" borderId="0" applyNumberFormat="0" applyFill="0" applyBorder="0" applyAlignment="0" applyProtection="0"/>
    <xf numFmtId="0" fontId="214" fillId="0" borderId="4" applyNumberFormat="0" applyFill="0" applyAlignment="0" applyProtection="0"/>
    <xf numFmtId="0" fontId="214" fillId="0" borderId="4" applyNumberFormat="0" applyFill="0" applyAlignment="0" applyProtection="0"/>
    <xf numFmtId="0" fontId="218" fillId="0" borderId="4" applyNumberFormat="0" applyFont="0" applyFill="0" applyAlignment="0" applyProtection="0"/>
    <xf numFmtId="0" fontId="215" fillId="0" borderId="108"/>
    <xf numFmtId="0" fontId="11" fillId="0" borderId="4">
      <alignment horizontal="centerContinuous"/>
    </xf>
    <xf numFmtId="0" fontId="9" fillId="0" borderId="13" applyBorder="0">
      <alignment horizontal="centerContinuous"/>
    </xf>
    <xf numFmtId="0" fontId="9" fillId="0" borderId="13" applyBorder="0">
      <alignment horizontal="centerContinuous"/>
    </xf>
    <xf numFmtId="0" fontId="9" fillId="0" borderId="13" applyBorder="0">
      <alignment horizontal="centerContinuous"/>
    </xf>
    <xf numFmtId="0" fontId="9" fillId="0" borderId="13" applyBorder="0">
      <alignment horizontal="centerContinuous"/>
    </xf>
    <xf numFmtId="0" fontId="9" fillId="0" borderId="13" applyBorder="0">
      <alignment horizontal="centerContinuous"/>
    </xf>
    <xf numFmtId="0" fontId="9" fillId="0" borderId="13" applyBorder="0">
      <alignment horizontal="centerContinuous"/>
    </xf>
    <xf numFmtId="0" fontId="9" fillId="0" borderId="13" applyBorder="0">
      <alignment horizontal="centerContinuous"/>
    </xf>
    <xf numFmtId="0" fontId="11" fillId="0" borderId="0" applyFont="0" applyFill="0" applyBorder="0" applyAlignment="0" applyProtection="0"/>
    <xf numFmtId="0" fontId="11" fillId="0" borderId="0" applyFont="0" applyFill="0" applyBorder="0" applyAlignment="0" applyProtection="0"/>
    <xf numFmtId="0" fontId="221" fillId="0" borderId="0"/>
    <xf numFmtId="0" fontId="210" fillId="0" borderId="0"/>
    <xf numFmtId="0" fontId="215" fillId="0" borderId="0">
      <alignment horizontal="right"/>
    </xf>
    <xf numFmtId="0" fontId="215" fillId="0" borderId="0">
      <alignment horizontal="right"/>
    </xf>
    <xf numFmtId="0" fontId="215" fillId="0" borderId="0">
      <alignment horizontal="right"/>
    </xf>
    <xf numFmtId="37" fontId="11" fillId="0" borderId="0">
      <alignment horizontal="center"/>
    </xf>
    <xf numFmtId="0" fontId="214" fillId="0" borderId="0"/>
    <xf numFmtId="37" fontId="9" fillId="0" borderId="0" applyFill="0" applyBorder="0" applyAlignment="0"/>
    <xf numFmtId="0" fontId="92" fillId="0" borderId="0" applyFill="0" applyBorder="0" applyAlignment="0"/>
    <xf numFmtId="0" fontId="92" fillId="0" borderId="0" applyFill="0" applyBorder="0" applyAlignment="0"/>
    <xf numFmtId="0" fontId="92" fillId="0" borderId="0" applyFill="0" applyBorder="0" applyAlignment="0"/>
    <xf numFmtId="0" fontId="92" fillId="0" borderId="0" applyFill="0" applyBorder="0" applyAlignment="0"/>
    <xf numFmtId="0" fontId="92" fillId="0" borderId="0" applyFill="0" applyBorder="0" applyAlignment="0"/>
    <xf numFmtId="0" fontId="92" fillId="0" borderId="0" applyFill="0" applyBorder="0" applyAlignment="0"/>
    <xf numFmtId="0" fontId="92" fillId="0" borderId="0" applyFill="0" applyBorder="0" applyAlignment="0"/>
    <xf numFmtId="0" fontId="217" fillId="49" borderId="112" applyNumberFormat="0" applyAlignment="0" applyProtection="0"/>
    <xf numFmtId="1" fontId="222" fillId="0" borderId="0"/>
    <xf numFmtId="0" fontId="27" fillId="0" borderId="0"/>
    <xf numFmtId="0" fontId="117" fillId="139" borderId="73" applyNumberFormat="0" applyAlignment="0" applyProtection="0"/>
    <xf numFmtId="0" fontId="204" fillId="127" borderId="106" applyNumberFormat="0" applyAlignment="0" applyProtection="0"/>
    <xf numFmtId="0" fontId="11" fillId="0" borderId="0"/>
    <xf numFmtId="0" fontId="223" fillId="0" borderId="0"/>
    <xf numFmtId="0" fontId="223" fillId="0" borderId="0"/>
    <xf numFmtId="0" fontId="223" fillId="0" borderId="0"/>
    <xf numFmtId="0" fontId="223" fillId="0" borderId="0"/>
    <xf numFmtId="0" fontId="223" fillId="0" borderId="0"/>
    <xf numFmtId="0" fontId="223" fillId="0" borderId="0"/>
    <xf numFmtId="0" fontId="223" fillId="0" borderId="0"/>
    <xf numFmtId="0" fontId="223" fillId="0" borderId="0"/>
    <xf numFmtId="0" fontId="22" fillId="0" borderId="0"/>
    <xf numFmtId="0" fontId="9" fillId="0" borderId="0" applyFont="0" applyFill="0" applyBorder="0" applyAlignment="0" applyProtection="0"/>
    <xf numFmtId="0" fontId="224" fillId="0" borderId="0" applyFont="0" applyFill="0" applyBorder="0" applyAlignment="0" applyProtection="0"/>
    <xf numFmtId="40" fontId="224" fillId="0" borderId="0" applyFont="0" applyFill="0" applyBorder="0" applyAlignment="0" applyProtection="0"/>
    <xf numFmtId="0" fontId="24" fillId="0" borderId="0" applyFont="0" applyFill="0" applyBorder="0" applyAlignment="0" applyProtection="0">
      <alignment horizontal="right"/>
    </xf>
    <xf numFmtId="0" fontId="24" fillId="0" borderId="0" applyFont="0" applyFill="0" applyBorder="0" applyAlignment="0" applyProtection="0"/>
    <xf numFmtId="0" fontId="24" fillId="0" borderId="0" applyFont="0" applyFill="0" applyBorder="0" applyAlignment="0" applyProtection="0">
      <alignment horizontal="right"/>
    </xf>
    <xf numFmtId="0" fontId="24" fillId="0" borderId="0" applyFont="0" applyFill="0" applyBorder="0" applyAlignment="0" applyProtection="0">
      <alignment horizontal="right"/>
    </xf>
    <xf numFmtId="43" fontId="45" fillId="0" borderId="0" applyFont="0" applyFill="0" applyBorder="0" applyAlignment="0" applyProtection="0"/>
    <xf numFmtId="171" fontId="16" fillId="0" borderId="0" applyFont="0" applyFill="0" applyBorder="0" applyAlignment="0" applyProtection="0"/>
    <xf numFmtId="308" fontId="9" fillId="0" borderId="0" applyFont="0" applyFill="0" applyBorder="0" applyAlignment="0" applyProtection="0"/>
    <xf numFmtId="0" fontId="9" fillId="0" borderId="7"/>
    <xf numFmtId="0" fontId="9" fillId="0" borderId="7"/>
    <xf numFmtId="0" fontId="9" fillId="0" borderId="7"/>
    <xf numFmtId="0" fontId="9" fillId="0" borderId="7"/>
    <xf numFmtId="0" fontId="9" fillId="0" borderId="7"/>
    <xf numFmtId="0" fontId="9" fillId="0" borderId="7"/>
    <xf numFmtId="0" fontId="9" fillId="0" borderId="7"/>
    <xf numFmtId="0" fontId="122" fillId="0" borderId="0">
      <protection locked="0"/>
    </xf>
    <xf numFmtId="0" fontId="225" fillId="0" borderId="0"/>
    <xf numFmtId="0" fontId="18" fillId="0" borderId="0"/>
    <xf numFmtId="0" fontId="122" fillId="0" borderId="0">
      <protection locked="0"/>
    </xf>
    <xf numFmtId="0" fontId="225" fillId="0" borderId="0"/>
    <xf numFmtId="0" fontId="18" fillId="0" borderId="0"/>
    <xf numFmtId="38" fontId="9" fillId="0" borderId="0" applyNumberFormat="0" applyFill="0" applyBorder="0">
      <alignment horizontal="left"/>
    </xf>
    <xf numFmtId="38" fontId="9" fillId="0" borderId="0" applyNumberFormat="0" applyFill="0" applyBorder="0">
      <alignment horizontal="left"/>
    </xf>
    <xf numFmtId="38" fontId="9" fillId="0" borderId="0" applyNumberFormat="0" applyFill="0" applyBorder="0">
      <alignment horizontal="left"/>
    </xf>
    <xf numFmtId="38" fontId="9" fillId="0" borderId="0" applyNumberFormat="0" applyFill="0" applyBorder="0">
      <alignment horizontal="left"/>
    </xf>
    <xf numFmtId="38" fontId="9" fillId="0" borderId="0" applyNumberFormat="0" applyFill="0" applyBorder="0">
      <alignment horizontal="left"/>
    </xf>
    <xf numFmtId="38" fontId="9" fillId="0" borderId="0" applyNumberFormat="0" applyFill="0" applyBorder="0">
      <alignment horizontal="left"/>
    </xf>
    <xf numFmtId="38" fontId="9" fillId="0" borderId="0" applyNumberFormat="0" applyFill="0" applyBorder="0">
      <alignment horizontal="left"/>
    </xf>
    <xf numFmtId="0" fontId="117" fillId="139" borderId="73" applyNumberFormat="0" applyAlignment="0" applyProtection="0"/>
    <xf numFmtId="0" fontId="9" fillId="0" borderId="0">
      <protection locked="0"/>
    </xf>
    <xf numFmtId="0" fontId="9" fillId="0" borderId="0" applyFont="0" applyFill="0" applyBorder="0" applyAlignment="0" applyProtection="0"/>
    <xf numFmtId="0" fontId="226" fillId="0" borderId="0" applyFont="0" applyFill="0" applyBorder="0" applyAlignment="0" applyProtection="0"/>
    <xf numFmtId="0" fontId="226" fillId="0" borderId="0" applyFont="0" applyFill="0" applyBorder="0" applyAlignment="0" applyProtection="0"/>
    <xf numFmtId="0" fontId="24" fillId="0" borderId="0" applyFont="0" applyFill="0" applyBorder="0" applyAlignment="0" applyProtection="0">
      <alignment horizontal="right"/>
    </xf>
    <xf numFmtId="170" fontId="9" fillId="0" borderId="0" applyFont="0" applyFill="0" applyBorder="0" applyAlignment="0" applyProtection="0"/>
    <xf numFmtId="44" fontId="1" fillId="0" borderId="0" applyFont="0" applyFill="0" applyBorder="0" applyAlignment="0" applyProtection="0"/>
    <xf numFmtId="309" fontId="9" fillId="0" borderId="0" applyFont="0" applyFill="0" applyBorder="0" applyAlignment="0" applyProtection="0"/>
    <xf numFmtId="44" fontId="45" fillId="0" borderId="0" applyFont="0" applyFill="0" applyBorder="0" applyAlignment="0" applyProtection="0"/>
    <xf numFmtId="44" fontId="1" fillId="0" borderId="0" applyFont="0" applyFill="0" applyBorder="0" applyAlignment="0" applyProtection="0"/>
    <xf numFmtId="309" fontId="9" fillId="0" borderId="0" applyFont="0" applyFill="0" applyBorder="0" applyAlignment="0" applyProtection="0"/>
    <xf numFmtId="170" fontId="9" fillId="0" borderId="0" applyFont="0" applyFill="0" applyBorder="0" applyAlignment="0" applyProtection="0"/>
    <xf numFmtId="44" fontId="1" fillId="0" borderId="0" applyFont="0" applyFill="0" applyBorder="0" applyAlignment="0" applyProtection="0"/>
    <xf numFmtId="0" fontId="122" fillId="0" borderId="0">
      <protection locked="0"/>
    </xf>
    <xf numFmtId="0" fontId="11" fillId="0" borderId="0" applyFont="0" applyFill="0" applyBorder="0" applyAlignment="0" applyProtection="0"/>
    <xf numFmtId="0" fontId="11" fillId="0" borderId="0" applyFont="0" applyFill="0" applyBorder="0" applyAlignment="0" applyProtection="0"/>
    <xf numFmtId="0" fontId="16" fillId="0" borderId="0" applyFont="0" applyFill="0" applyBorder="0">
      <alignment horizontal="right" vertical="center"/>
    </xf>
    <xf numFmtId="0" fontId="122" fillId="0" borderId="0">
      <protection locked="0"/>
    </xf>
    <xf numFmtId="0" fontId="24" fillId="0" borderId="0" applyFont="0" applyFill="0" applyBorder="0" applyAlignment="0" applyProtection="0"/>
    <xf numFmtId="0" fontId="22" fillId="0" borderId="0"/>
    <xf numFmtId="0" fontId="125" fillId="0" borderId="82">
      <alignment vertical="center"/>
    </xf>
    <xf numFmtId="0" fontId="125" fillId="0" borderId="82">
      <alignment vertical="center"/>
    </xf>
    <xf numFmtId="0" fontId="125" fillId="0" borderId="82">
      <alignment vertical="center"/>
    </xf>
    <xf numFmtId="0" fontId="227" fillId="0" borderId="0">
      <protection locked="0"/>
    </xf>
    <xf numFmtId="0" fontId="92" fillId="0" borderId="0" applyFont="0" applyFill="0" applyBorder="0" applyAlignment="0" applyProtection="0">
      <protection locked="0"/>
    </xf>
    <xf numFmtId="0" fontId="24" fillId="0" borderId="11" applyNumberFormat="0" applyFont="0" applyFill="0" applyAlignment="0" applyProtection="0"/>
    <xf numFmtId="0" fontId="143" fillId="0" borderId="110"/>
    <xf numFmtId="0" fontId="129" fillId="140" borderId="0" applyNumberFormat="0" applyBorder="0" applyAlignment="0" applyProtection="0"/>
    <xf numFmtId="0" fontId="129" fillId="141" borderId="0" applyNumberFormat="0" applyBorder="0" applyAlignment="0" applyProtection="0"/>
    <xf numFmtId="0" fontId="129" fillId="91" borderId="0" applyNumberFormat="0" applyBorder="0" applyAlignment="0" applyProtection="0"/>
    <xf numFmtId="0" fontId="228" fillId="0" borderId="0">
      <protection locked="0"/>
    </xf>
    <xf numFmtId="0" fontId="228" fillId="0" borderId="0">
      <protection locked="0"/>
    </xf>
    <xf numFmtId="0" fontId="119" fillId="0" borderId="0" applyFill="0" applyBorder="0" applyAlignment="0"/>
    <xf numFmtId="0" fontId="119" fillId="0" borderId="0" applyFill="0" applyBorder="0" applyAlignment="0"/>
    <xf numFmtId="0" fontId="119" fillId="0" borderId="0" applyFill="0" applyBorder="0" applyAlignment="0"/>
    <xf numFmtId="0" fontId="119" fillId="0" borderId="0" applyFill="0" applyBorder="0" applyAlignment="0"/>
    <xf numFmtId="0" fontId="119" fillId="0" borderId="0" applyFill="0" applyBorder="0" applyAlignment="0"/>
    <xf numFmtId="31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229" fillId="0" borderId="0" applyNumberFormat="0" applyFill="0" applyBorder="0" applyAlignment="0" applyProtection="0"/>
    <xf numFmtId="0" fontId="205" fillId="0" borderId="0" applyNumberFormat="0" applyFill="0" applyBorder="0" applyAlignment="0" applyProtection="0"/>
    <xf numFmtId="0" fontId="227" fillId="0" borderId="0">
      <protection locked="0"/>
    </xf>
    <xf numFmtId="0" fontId="227" fillId="0" borderId="0">
      <protection locked="0"/>
    </xf>
    <xf numFmtId="0" fontId="227" fillId="0" borderId="0">
      <protection locked="0"/>
    </xf>
    <xf numFmtId="0" fontId="227" fillId="0" borderId="0">
      <protection locked="0"/>
    </xf>
    <xf numFmtId="0" fontId="227" fillId="0" borderId="0">
      <protection locked="0"/>
    </xf>
    <xf numFmtId="0" fontId="227" fillId="0" borderId="0">
      <protection locked="0"/>
    </xf>
    <xf numFmtId="0" fontId="227" fillId="0" borderId="0">
      <protection locked="0"/>
    </xf>
    <xf numFmtId="0" fontId="227" fillId="0" borderId="0">
      <protection locked="0"/>
    </xf>
    <xf numFmtId="0" fontId="227" fillId="0" borderId="0">
      <protection locked="0"/>
    </xf>
    <xf numFmtId="0" fontId="122" fillId="0" borderId="0">
      <protection locked="0"/>
    </xf>
    <xf numFmtId="0" fontId="148" fillId="13" borderId="107"/>
    <xf numFmtId="0" fontId="230" fillId="0" borderId="113" applyNumberFormat="0" applyFill="0" applyAlignment="0" applyProtection="0"/>
    <xf numFmtId="0" fontId="21" fillId="18" borderId="110" applyFont="0" applyFill="0" applyBorder="0" applyAlignment="0" applyProtection="0">
      <alignment horizontal="right" vertical="center"/>
    </xf>
    <xf numFmtId="0" fontId="158" fillId="133" borderId="0" applyNumberFormat="0" applyBorder="0" applyAlignment="0" applyProtection="0"/>
    <xf numFmtId="0" fontId="158" fillId="133" borderId="0" applyNumberFormat="0" applyBorder="0" applyAlignment="0" applyProtection="0"/>
    <xf numFmtId="0" fontId="224" fillId="0" borderId="0" applyNumberFormat="0" applyFill="0" applyBorder="0" applyAlignment="0" applyProtection="0"/>
    <xf numFmtId="0" fontId="16" fillId="0" borderId="16"/>
    <xf numFmtId="0" fontId="9" fillId="0" borderId="110"/>
    <xf numFmtId="0" fontId="9" fillId="0" borderId="110"/>
    <xf numFmtId="0" fontId="9" fillId="0" borderId="110"/>
    <xf numFmtId="0" fontId="9" fillId="0" borderId="110"/>
    <xf numFmtId="0" fontId="9" fillId="0" borderId="110"/>
    <xf numFmtId="0" fontId="9" fillId="0" borderId="110"/>
    <xf numFmtId="0" fontId="9" fillId="0" borderId="110"/>
    <xf numFmtId="0" fontId="16" fillId="0" borderId="16"/>
    <xf numFmtId="0" fontId="9" fillId="0" borderId="0" applyNumberFormat="0" applyFill="0" applyProtection="0">
      <alignment horizontal="left"/>
    </xf>
    <xf numFmtId="0" fontId="9" fillId="0" borderId="0" applyNumberFormat="0" applyFill="0" applyProtection="0">
      <alignment horizontal="left"/>
    </xf>
    <xf numFmtId="0" fontId="9" fillId="0" borderId="0" applyNumberFormat="0" applyFill="0" applyProtection="0">
      <alignment horizontal="left"/>
    </xf>
    <xf numFmtId="0" fontId="9" fillId="0" borderId="0" applyNumberFormat="0" applyFill="0" applyProtection="0">
      <alignment horizontal="left"/>
    </xf>
    <xf numFmtId="0" fontId="9" fillId="0" borderId="0" applyNumberFormat="0" applyFill="0" applyProtection="0">
      <alignment horizontal="left"/>
    </xf>
    <xf numFmtId="0" fontId="9" fillId="0" borderId="0" applyNumberFormat="0" applyFill="0" applyProtection="0">
      <alignment horizontal="left"/>
    </xf>
    <xf numFmtId="0" fontId="9" fillId="0" borderId="0" applyNumberFormat="0" applyFill="0" applyProtection="0">
      <alignment horizontal="left"/>
    </xf>
    <xf numFmtId="0" fontId="231" fillId="0" borderId="0" applyNumberFormat="0" applyFill="0" applyProtection="0">
      <alignment horizontal="left"/>
    </xf>
    <xf numFmtId="0" fontId="231" fillId="0" borderId="0" applyNumberFormat="0" applyFill="0" applyProtection="0">
      <alignment horizontal="left"/>
    </xf>
    <xf numFmtId="0" fontId="9" fillId="0" borderId="13">
      <alignment horizontal="centerContinuous"/>
    </xf>
    <xf numFmtId="0" fontId="24" fillId="0" borderId="0" applyFont="0" applyFill="0" applyBorder="0" applyAlignment="0" applyProtection="0">
      <alignment horizontal="right"/>
    </xf>
    <xf numFmtId="0" fontId="10" fillId="0" borderId="114">
      <alignment horizontal="left" vertical="center"/>
    </xf>
    <xf numFmtId="0" fontId="9" fillId="0" borderId="0" applyNumberFormat="0" applyFill="0" applyBorder="0" applyAlignment="0" applyProtection="0"/>
    <xf numFmtId="0" fontId="232" fillId="0" borderId="115" applyNumberFormat="0" applyFill="0" applyAlignment="0" applyProtection="0"/>
    <xf numFmtId="0" fontId="199" fillId="0" borderId="101" applyNumberFormat="0" applyFill="0" applyAlignment="0" applyProtection="0"/>
    <xf numFmtId="0" fontId="200" fillId="0" borderId="102" applyNumberFormat="0" applyFill="0" applyAlignment="0" applyProtection="0"/>
    <xf numFmtId="0" fontId="233" fillId="0" borderId="116" applyNumberFormat="0" applyFill="0" applyAlignment="0" applyProtection="0"/>
    <xf numFmtId="0" fontId="233" fillId="0" borderId="116" applyNumberFormat="0" applyFill="0" applyAlignment="0" applyProtection="0"/>
    <xf numFmtId="0" fontId="201" fillId="0" borderId="103" applyNumberFormat="0" applyFill="0" applyAlignment="0" applyProtection="0"/>
    <xf numFmtId="0" fontId="234" fillId="0" borderId="117" applyNumberFormat="0" applyFill="0" applyAlignment="0" applyProtection="0"/>
    <xf numFmtId="0" fontId="234" fillId="0" borderId="117" applyNumberFormat="0" applyFill="0" applyAlignment="0" applyProtection="0"/>
    <xf numFmtId="0" fontId="234" fillId="0" borderId="0" applyNumberFormat="0" applyFill="0" applyBorder="0" applyAlignment="0" applyProtection="0"/>
    <xf numFmtId="0" fontId="201"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228" fillId="0" borderId="0">
      <protection locked="0"/>
    </xf>
    <xf numFmtId="0" fontId="228" fillId="0" borderId="0">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 fontId="9" fillId="0" borderId="0"/>
    <xf numFmtId="1" fontId="9" fillId="0" borderId="0"/>
    <xf numFmtId="1" fontId="9" fillId="0" borderId="0"/>
    <xf numFmtId="1" fontId="9" fillId="0" borderId="0"/>
    <xf numFmtId="1" fontId="9" fillId="0" borderId="0"/>
    <xf numFmtId="1" fontId="9" fillId="0" borderId="0"/>
    <xf numFmtId="1" fontId="9" fillId="0" borderId="0"/>
    <xf numFmtId="0" fontId="138" fillId="0" borderId="16">
      <alignment horizontal="left" vertical="center"/>
    </xf>
    <xf numFmtId="0" fontId="9" fillId="0" borderId="0">
      <alignment horizontal="right" vertical="center"/>
      <protection locked="0"/>
    </xf>
    <xf numFmtId="0" fontId="98" fillId="0" borderId="82">
      <alignment vertical="center"/>
    </xf>
    <xf numFmtId="10" fontId="16" fillId="20" borderId="110" applyNumberFormat="0" applyBorder="0" applyAlignment="0" applyProtection="0"/>
    <xf numFmtId="0" fontId="145" fillId="0" borderId="82">
      <alignment vertical="center"/>
    </xf>
    <xf numFmtId="0" fontId="98" fillId="0" borderId="82">
      <alignment vertical="center"/>
    </xf>
    <xf numFmtId="0" fontId="145" fillId="0" borderId="82">
      <alignment vertical="center"/>
    </xf>
    <xf numFmtId="0" fontId="206" fillId="131" borderId="105" applyNumberFormat="0" applyAlignment="0" applyProtection="0"/>
    <xf numFmtId="0" fontId="206" fillId="131" borderId="105" applyNumberFormat="0" applyAlignment="0" applyProtection="0"/>
    <xf numFmtId="0" fontId="235" fillId="28" borderId="112" applyNumberFormat="0" applyAlignment="0" applyProtection="0"/>
    <xf numFmtId="0" fontId="9" fillId="12" borderId="6"/>
    <xf numFmtId="0" fontId="9" fillId="12" borderId="6"/>
    <xf numFmtId="0" fontId="9" fillId="12" borderId="6"/>
    <xf numFmtId="0" fontId="9" fillId="12" borderId="6"/>
    <xf numFmtId="0" fontId="9" fillId="12" borderId="6"/>
    <xf numFmtId="0" fontId="9" fillId="12" borderId="6"/>
    <xf numFmtId="0" fontId="9" fillId="12" borderId="6"/>
    <xf numFmtId="0" fontId="235" fillId="28" borderId="112" applyNumberFormat="0" applyAlignment="0" applyProtection="0"/>
    <xf numFmtId="0" fontId="119" fillId="0" borderId="0" applyNumberFormat="0" applyFill="0" applyBorder="0" applyAlignment="0">
      <protection locked="0"/>
    </xf>
    <xf numFmtId="0" fontId="119" fillId="0" borderId="0" applyNumberFormat="0" applyFill="0" applyBorder="0" applyAlignment="0"/>
    <xf numFmtId="0" fontId="235" fillId="28" borderId="112" applyNumberFormat="0" applyAlignment="0" applyProtection="0"/>
    <xf numFmtId="0" fontId="68" fillId="12" borderId="0"/>
    <xf numFmtId="43" fontId="1"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43" fontId="45"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311" fontId="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171" fontId="236" fillId="0" borderId="0" applyFont="0" applyFill="0" applyBorder="0" applyAlignment="0" applyProtection="0"/>
    <xf numFmtId="43"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236" fillId="0" borderId="0" applyFont="0" applyFill="0" applyBorder="0" applyAlignment="0" applyProtection="0"/>
    <xf numFmtId="43" fontId="45"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208" fillId="0" borderId="0" applyFont="0" applyFill="0" applyBorder="0" applyAlignment="0" applyProtection="0"/>
    <xf numFmtId="0" fontId="232" fillId="0" borderId="115" applyNumberFormat="0" applyFill="0" applyAlignment="0" applyProtection="0"/>
    <xf numFmtId="0" fontId="233" fillId="0" borderId="116" applyNumberFormat="0" applyFill="0" applyAlignment="0" applyProtection="0"/>
    <xf numFmtId="0" fontId="234" fillId="0" borderId="117" applyNumberFormat="0" applyFill="0" applyAlignment="0" applyProtection="0"/>
    <xf numFmtId="0" fontId="234" fillId="0" borderId="0" applyNumberFormat="0" applyFill="0" applyBorder="0" applyAlignment="0" applyProtection="0"/>
    <xf numFmtId="0" fontId="18" fillId="0" borderId="0"/>
    <xf numFmtId="0" fontId="9" fillId="0" borderId="0"/>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0" fontId="154" fillId="0" borderId="0" applyFill="0" applyBorder="0" applyAlignment="0"/>
    <xf numFmtId="0" fontId="154" fillId="0" borderId="0" applyFill="0" applyBorder="0" applyAlignment="0"/>
    <xf numFmtId="0" fontId="154" fillId="0" borderId="0" applyFill="0" applyBorder="0" applyAlignment="0"/>
    <xf numFmtId="0" fontId="154" fillId="0" borderId="0" applyFill="0" applyBorder="0" applyAlignment="0"/>
    <xf numFmtId="0" fontId="154" fillId="0" borderId="0" applyFill="0" applyBorder="0" applyAlignment="0"/>
    <xf numFmtId="3" fontId="237" fillId="0" borderId="0"/>
    <xf numFmtId="0" fontId="230" fillId="0" borderId="113" applyNumberFormat="0" applyFill="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95" borderId="85" applyNumberFormat="0" applyFont="0" applyBorder="0" applyAlignment="0"/>
    <xf numFmtId="0" fontId="9" fillId="0" borderId="0" applyNumberFormat="0" applyFill="0" applyBorder="0" applyProtection="0">
      <alignment horizontal="left" vertical="center"/>
    </xf>
    <xf numFmtId="0" fontId="9" fillId="0" borderId="0" applyNumberFormat="0" applyFill="0" applyBorder="0" applyProtection="0">
      <alignment horizontal="left" vertical="center"/>
    </xf>
    <xf numFmtId="0" fontId="9" fillId="0" borderId="0" applyNumberFormat="0" applyFill="0" applyBorder="0" applyProtection="0">
      <alignment horizontal="left" vertical="center"/>
    </xf>
    <xf numFmtId="0" fontId="9" fillId="0" borderId="0" applyNumberFormat="0" applyFill="0" applyBorder="0" applyProtection="0">
      <alignment horizontal="left" vertical="center"/>
    </xf>
    <xf numFmtId="0" fontId="9" fillId="0" borderId="0" applyNumberFormat="0" applyFill="0" applyBorder="0" applyProtection="0">
      <alignment horizontal="left" vertical="center"/>
    </xf>
    <xf numFmtId="0" fontId="9" fillId="0" borderId="0" applyNumberFormat="0" applyFill="0" applyBorder="0" applyProtection="0">
      <alignment horizontal="left" vertical="center"/>
    </xf>
    <xf numFmtId="0" fontId="9" fillId="0" borderId="0" applyNumberFormat="0" applyFill="0" applyBorder="0" applyProtection="0">
      <alignment horizontal="left" vertical="center"/>
    </xf>
    <xf numFmtId="2" fontId="9" fillId="0" borderId="24" applyFont="0" applyFill="0" applyBorder="0" applyAlignment="0"/>
    <xf numFmtId="2" fontId="9" fillId="0" borderId="24" applyFont="0" applyFill="0" applyBorder="0" applyAlignment="0"/>
    <xf numFmtId="2" fontId="9" fillId="0" borderId="24" applyFont="0" applyFill="0" applyBorder="0" applyAlignment="0"/>
    <xf numFmtId="2" fontId="9" fillId="0" borderId="24" applyFont="0" applyFill="0" applyBorder="0" applyAlignment="0"/>
    <xf numFmtId="2" fontId="9" fillId="0" borderId="24" applyFont="0" applyFill="0" applyBorder="0" applyAlignment="0"/>
    <xf numFmtId="2" fontId="9" fillId="0" borderId="24" applyFont="0" applyFill="0" applyBorder="0" applyAlignment="0"/>
    <xf numFmtId="2" fontId="9" fillId="0" borderId="24" applyFont="0" applyFill="0" applyBorder="0" applyAlignment="0"/>
    <xf numFmtId="0" fontId="24" fillId="0" borderId="0" applyFont="0" applyFill="0" applyBorder="0" applyAlignment="0" applyProtection="0">
      <alignment horizontal="right"/>
    </xf>
    <xf numFmtId="0" fontId="11" fillId="0" borderId="0"/>
    <xf numFmtId="0" fontId="11" fillId="0" borderId="0"/>
    <xf numFmtId="0" fontId="238" fillId="27" borderId="0" applyNumberFormat="0" applyBorder="0" applyAlignment="0" applyProtection="0"/>
    <xf numFmtId="0" fontId="238" fillId="27" borderId="0" applyNumberFormat="0" applyBorder="0" applyAlignment="0" applyProtection="0"/>
    <xf numFmtId="2" fontId="84" fillId="13" borderId="0"/>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37" fontId="9" fillId="0" borderId="0"/>
    <xf numFmtId="37" fontId="9" fillId="0" borderId="0"/>
    <xf numFmtId="37" fontId="9" fillId="0" borderId="0"/>
    <xf numFmtId="37" fontId="9" fillId="0" borderId="0"/>
    <xf numFmtId="37" fontId="9" fillId="0" borderId="0"/>
    <xf numFmtId="37" fontId="9" fillId="0" borderId="0"/>
    <xf numFmtId="37" fontId="9" fillId="0" borderId="0"/>
    <xf numFmtId="0" fontId="215" fillId="0" borderId="0">
      <alignment horizontal="left"/>
    </xf>
    <xf numFmtId="0" fontId="16" fillId="0" borderId="16">
      <alignment horizontal="right"/>
    </xf>
    <xf numFmtId="37" fontId="239" fillId="0" borderId="0"/>
    <xf numFmtId="312" fontId="9" fillId="0" borderId="0"/>
    <xf numFmtId="312" fontId="9" fillId="0" borderId="0"/>
    <xf numFmtId="0" fontId="52" fillId="0" borderId="0"/>
    <xf numFmtId="0" fontId="52" fillId="0" borderId="0"/>
    <xf numFmtId="0" fontId="52" fillId="0" borderId="0"/>
    <xf numFmtId="0" fontId="240" fillId="0" borderId="0"/>
    <xf numFmtId="0" fontId="52" fillId="0" borderId="0"/>
    <xf numFmtId="0" fontId="52" fillId="0" borderId="0"/>
    <xf numFmtId="0" fontId="52" fillId="0" borderId="0"/>
    <xf numFmtId="0" fontId="52" fillId="0" borderId="0"/>
    <xf numFmtId="0" fontId="52" fillId="0" borderId="0"/>
    <xf numFmtId="0" fontId="52" fillId="0" borderId="0"/>
    <xf numFmtId="0" fontId="45" fillId="0" borderId="0"/>
    <xf numFmtId="0" fontId="52" fillId="0" borderId="0"/>
    <xf numFmtId="0" fontId="1" fillId="0" borderId="0"/>
    <xf numFmtId="0" fontId="1" fillId="0" borderId="0"/>
    <xf numFmtId="0" fontId="52" fillId="0" borderId="0"/>
    <xf numFmtId="0" fontId="1" fillId="0" borderId="0"/>
    <xf numFmtId="0" fontId="52" fillId="0" borderId="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1" fillId="2" borderId="1" applyNumberFormat="0" applyFont="0" applyAlignment="0" applyProtection="0"/>
    <xf numFmtId="0" fontId="9" fillId="96" borderId="118" applyNumberFormat="0" applyFont="0" applyAlignment="0" applyProtection="0"/>
    <xf numFmtId="0" fontId="1" fillId="2" borderId="1"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9" fillId="96" borderId="118"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9" fillId="0" borderId="119"/>
    <xf numFmtId="0" fontId="9" fillId="0" borderId="119"/>
    <xf numFmtId="0" fontId="9" fillId="0" borderId="119"/>
    <xf numFmtId="0" fontId="9" fillId="0" borderId="119"/>
    <xf numFmtId="0" fontId="9" fillId="0" borderId="119"/>
    <xf numFmtId="0" fontId="9" fillId="0" borderId="119"/>
    <xf numFmtId="0" fontId="9" fillId="0" borderId="119"/>
    <xf numFmtId="0" fontId="216" fillId="76" borderId="0" applyNumberFormat="0" applyBorder="0" applyAlignment="0" applyProtection="0"/>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0" fontId="9" fillId="0" borderId="0">
      <alignment horizontal="left"/>
    </xf>
    <xf numFmtId="0" fontId="169" fillId="49" borderId="120" applyNumberFormat="0" applyAlignment="0" applyProtection="0"/>
    <xf numFmtId="0" fontId="203" fillId="126" borderId="104" applyNumberFormat="0" applyAlignment="0" applyProtection="0"/>
    <xf numFmtId="0" fontId="241" fillId="13" borderId="0">
      <alignment horizontal="right"/>
    </xf>
    <xf numFmtId="0" fontId="242" fillId="13" borderId="16"/>
    <xf numFmtId="0" fontId="56" fillId="0" borderId="0" applyBorder="0">
      <alignment horizontal="centerContinuous"/>
    </xf>
    <xf numFmtId="0" fontId="243" fillId="0" borderId="0" applyBorder="0">
      <alignment horizontal="centerContinuous"/>
    </xf>
    <xf numFmtId="10" fontId="11" fillId="0" borderId="16"/>
    <xf numFmtId="0" fontId="215"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40" fontId="223" fillId="0" borderId="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9" fillId="0" borderId="0" applyFont="0" applyFill="0" applyBorder="0" applyAlignment="0" applyProtection="0">
      <alignment horizontal="center"/>
    </xf>
    <xf numFmtId="0" fontId="148" fillId="0" borderId="0" applyFill="0" applyBorder="0" applyAlignment="0"/>
    <xf numFmtId="0" fontId="148" fillId="0" borderId="0" applyFill="0" applyBorder="0" applyAlignment="0"/>
    <xf numFmtId="0" fontId="148" fillId="0" borderId="0" applyFill="0" applyBorder="0" applyAlignment="0"/>
    <xf numFmtId="0" fontId="148" fillId="0" borderId="0" applyFill="0" applyBorder="0" applyAlignment="0"/>
    <xf numFmtId="0" fontId="148" fillId="0" borderId="0" applyFill="0" applyBorder="0" applyAlignment="0"/>
    <xf numFmtId="0" fontId="148" fillId="0" borderId="0" applyFill="0" applyBorder="0" applyAlignment="0"/>
    <xf numFmtId="0" fontId="148" fillId="0" borderId="0" applyFill="0" applyBorder="0" applyAlignment="0"/>
    <xf numFmtId="9" fontId="236" fillId="0" borderId="0" applyFont="0" applyFill="0" applyBorder="0" applyAlignment="0" applyProtection="0"/>
    <xf numFmtId="9" fontId="45" fillId="0" borderId="0" applyFont="0" applyFill="0" applyBorder="0" applyAlignment="0" applyProtection="0"/>
    <xf numFmtId="9" fontId="236"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52" fillId="0" borderId="0" applyFont="0" applyFill="0" applyBorder="0" applyAlignment="0" applyProtection="0"/>
    <xf numFmtId="0" fontId="125" fillId="0" borderId="82">
      <alignment vertical="center"/>
    </xf>
    <xf numFmtId="0" fontId="9" fillId="0" borderId="13">
      <alignment horizontal="center"/>
    </xf>
    <xf numFmtId="0" fontId="9" fillId="0" borderId="13">
      <alignment horizontal="center"/>
    </xf>
    <xf numFmtId="0" fontId="9" fillId="0" borderId="13">
      <alignment horizontal="center"/>
    </xf>
    <xf numFmtId="0" fontId="9" fillId="0" borderId="13">
      <alignment horizontal="center"/>
    </xf>
    <xf numFmtId="0" fontId="9" fillId="0" borderId="13">
      <alignment horizontal="center"/>
    </xf>
    <xf numFmtId="0" fontId="9" fillId="0" borderId="13">
      <alignment horizontal="center"/>
    </xf>
    <xf numFmtId="0" fontId="9" fillId="0" borderId="13">
      <alignment horizontal="center"/>
    </xf>
    <xf numFmtId="0" fontId="9" fillId="0" borderId="4"/>
    <xf numFmtId="0" fontId="9" fillId="0" borderId="4"/>
    <xf numFmtId="0" fontId="9" fillId="0" borderId="4"/>
    <xf numFmtId="0" fontId="9" fillId="0" borderId="4"/>
    <xf numFmtId="0" fontId="9" fillId="0" borderId="4"/>
    <xf numFmtId="0" fontId="9" fillId="0" borderId="4"/>
    <xf numFmtId="0" fontId="9" fillId="0" borderId="4"/>
    <xf numFmtId="10" fontId="215" fillId="0" borderId="6"/>
    <xf numFmtId="10" fontId="9" fillId="0" borderId="0"/>
    <xf numFmtId="10" fontId="9" fillId="0" borderId="0"/>
    <xf numFmtId="10" fontId="9" fillId="0" borderId="0"/>
    <xf numFmtId="10" fontId="9" fillId="0" borderId="0"/>
    <xf numFmtId="10" fontId="9" fillId="0" borderId="0"/>
    <xf numFmtId="10" fontId="9" fillId="0" borderId="0"/>
    <xf numFmtId="10" fontId="9" fillId="0" borderId="0"/>
    <xf numFmtId="0" fontId="106" fillId="0" borderId="0" applyFont="0" applyFill="0" applyBorder="0" applyAlignment="0" applyProtection="0">
      <alignment horizontal="right"/>
    </xf>
    <xf numFmtId="0" fontId="106" fillId="0" borderId="0" applyFont="0" applyFill="0" applyBorder="0" applyAlignment="0" applyProtection="0">
      <alignment horizontal="right"/>
    </xf>
    <xf numFmtId="0" fontId="9" fillId="27" borderId="0">
      <alignment horizontal="center"/>
    </xf>
    <xf numFmtId="0" fontId="9" fillId="27" borderId="0">
      <alignment horizontal="center"/>
    </xf>
    <xf numFmtId="0" fontId="9" fillId="27" borderId="0">
      <alignment horizontal="center"/>
    </xf>
    <xf numFmtId="0" fontId="9" fillId="27" borderId="0">
      <alignment horizontal="center"/>
    </xf>
    <xf numFmtId="0" fontId="9" fillId="27" borderId="0">
      <alignment horizontal="center"/>
    </xf>
    <xf numFmtId="0" fontId="9" fillId="27" borderId="0">
      <alignment horizontal="center"/>
    </xf>
    <xf numFmtId="0" fontId="9" fillId="2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37" fontId="9" fillId="0" borderId="0" applyNumberFormat="0" applyFill="0" applyBorder="0" applyAlignment="0" applyProtection="0">
      <alignment horizontal="left"/>
    </xf>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0" fontId="9" fillId="17" borderId="0">
      <alignment horizontal="left"/>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center"/>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49" fontId="9" fillId="17" borderId="0">
      <alignment horizontal="left"/>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109">
      <protection locked="0"/>
    </xf>
    <xf numFmtId="0" fontId="9" fillId="0" borderId="109">
      <protection locked="0"/>
    </xf>
    <xf numFmtId="0" fontId="9" fillId="0" borderId="109">
      <protection locked="0"/>
    </xf>
    <xf numFmtId="0" fontId="9" fillId="0" borderId="109">
      <protection locked="0"/>
    </xf>
    <xf numFmtId="0" fontId="9" fillId="0" borderId="109">
      <protection locked="0"/>
    </xf>
    <xf numFmtId="0" fontId="9" fillId="0" borderId="109">
      <protection locked="0"/>
    </xf>
    <xf numFmtId="0" fontId="9" fillId="0" borderId="109">
      <protection locked="0"/>
    </xf>
    <xf numFmtId="0" fontId="100" fillId="0" borderId="109">
      <protection locked="0"/>
    </xf>
    <xf numFmtId="0" fontId="100" fillId="0" borderId="109">
      <protection locked="0"/>
    </xf>
    <xf numFmtId="0" fontId="100" fillId="0" borderId="0"/>
    <xf numFmtId="0" fontId="100" fillId="0" borderId="0"/>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51" fillId="0" borderId="0">
      <alignment horizontal="center"/>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9" fillId="0" borderId="109">
      <alignment horizontal="centerContinuous"/>
    </xf>
    <xf numFmtId="0" fontId="100" fillId="0" borderId="109">
      <alignment horizontal="centerContinuous"/>
    </xf>
    <xf numFmtId="0" fontId="100" fillId="0" borderId="109">
      <alignment horizontal="centerContinuous"/>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0" fontId="9" fillId="28" borderId="0">
      <alignment horizontal="center"/>
    </xf>
    <xf numFmtId="4" fontId="92" fillId="12" borderId="120" applyNumberFormat="0" applyProtection="0">
      <alignment vertical="center"/>
    </xf>
    <xf numFmtId="4" fontId="179" fillId="12" borderId="120" applyNumberFormat="0" applyProtection="0">
      <alignment vertical="center"/>
    </xf>
    <xf numFmtId="4" fontId="92" fillId="12" borderId="120" applyNumberFormat="0" applyProtection="0">
      <alignment horizontal="left" vertical="center" indent="1"/>
    </xf>
    <xf numFmtId="4" fontId="92" fillId="12"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4" fontId="92" fillId="93" borderId="120" applyNumberFormat="0" applyProtection="0">
      <alignment horizontal="right" vertical="center"/>
    </xf>
    <xf numFmtId="4" fontId="92" fillId="85" borderId="120" applyNumberFormat="0" applyProtection="0">
      <alignment horizontal="right" vertical="center"/>
    </xf>
    <xf numFmtId="4" fontId="92" fillId="100" borderId="120" applyNumberFormat="0" applyProtection="0">
      <alignment horizontal="right" vertical="center"/>
    </xf>
    <xf numFmtId="4" fontId="92" fillId="97" borderId="120" applyNumberFormat="0" applyProtection="0">
      <alignment horizontal="right" vertical="center"/>
    </xf>
    <xf numFmtId="4" fontId="92" fillId="103" borderId="120" applyNumberFormat="0" applyProtection="0">
      <alignment horizontal="right" vertical="center"/>
    </xf>
    <xf numFmtId="4" fontId="92" fillId="105" borderId="120" applyNumberFormat="0" applyProtection="0">
      <alignment horizontal="right" vertical="center"/>
    </xf>
    <xf numFmtId="4" fontId="92" fillId="107" borderId="120" applyNumberFormat="0" applyProtection="0">
      <alignment horizontal="right" vertical="center"/>
    </xf>
    <xf numFmtId="4" fontId="92" fillId="81" borderId="120" applyNumberFormat="0" applyProtection="0">
      <alignment horizontal="right" vertical="center"/>
    </xf>
    <xf numFmtId="4" fontId="92" fillId="110" borderId="120" applyNumberFormat="0" applyProtection="0">
      <alignment horizontal="right" vertical="center"/>
    </xf>
    <xf numFmtId="4" fontId="46" fillId="112" borderId="120" applyNumberFormat="0" applyProtection="0">
      <alignment horizontal="left" vertical="center" indent="1"/>
    </xf>
    <xf numFmtId="4" fontId="92" fillId="77" borderId="121"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4" fontId="92" fillId="77" borderId="120" applyNumberFormat="0" applyProtection="0">
      <alignment horizontal="left" vertical="center" indent="1"/>
    </xf>
    <xf numFmtId="4" fontId="92"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6"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18"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1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72" fillId="71" borderId="122" applyBorder="0"/>
    <xf numFmtId="4" fontId="92" fillId="20" borderId="120" applyNumberFormat="0" applyProtection="0">
      <alignment vertical="center"/>
    </xf>
    <xf numFmtId="4" fontId="179" fillId="20" borderId="120" applyNumberFormat="0" applyProtection="0">
      <alignment vertical="center"/>
    </xf>
    <xf numFmtId="4" fontId="92" fillId="20" borderId="120" applyNumberFormat="0" applyProtection="0">
      <alignment horizontal="left" vertical="center" indent="1"/>
    </xf>
    <xf numFmtId="4" fontId="92" fillId="20" borderId="120" applyNumberFormat="0" applyProtection="0">
      <alignment horizontal="left" vertical="center" indent="1"/>
    </xf>
    <xf numFmtId="4" fontId="92" fillId="77" borderId="120" applyNumberFormat="0" applyProtection="0">
      <alignment horizontal="right" vertical="center"/>
    </xf>
    <xf numFmtId="4" fontId="179" fillId="77" borderId="120" applyNumberFormat="0" applyProtection="0">
      <alignment horizontal="right" vertical="center"/>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0" fontId="9" fillId="29" borderId="120" applyNumberFormat="0" applyProtection="0">
      <alignment horizontal="left" vertical="center" indent="1"/>
    </xf>
    <xf numFmtId="4" fontId="148" fillId="77" borderId="120" applyNumberFormat="0" applyProtection="0">
      <alignment horizontal="right" vertical="center"/>
    </xf>
    <xf numFmtId="0" fontId="244" fillId="82" borderId="0">
      <alignment vertical="center"/>
    </xf>
    <xf numFmtId="0" fontId="9" fillId="142" borderId="0" applyNumberFormat="0" applyFont="0" applyBorder="0" applyAlignment="0" applyProtection="0"/>
    <xf numFmtId="0" fontId="9" fillId="142" borderId="0" applyNumberFormat="0" applyFont="0" applyBorder="0" applyAlignment="0" applyProtection="0"/>
    <xf numFmtId="0" fontId="9" fillId="142" borderId="0" applyNumberFormat="0" applyFont="0" applyBorder="0" applyAlignment="0" applyProtection="0"/>
    <xf numFmtId="0" fontId="9" fillId="142" borderId="0" applyNumberFormat="0" applyFont="0" applyBorder="0" applyAlignment="0" applyProtection="0"/>
    <xf numFmtId="0" fontId="9" fillId="142" borderId="0" applyNumberFormat="0" applyFont="0" applyBorder="0" applyAlignment="0" applyProtection="0"/>
    <xf numFmtId="0" fontId="9" fillId="142" borderId="0" applyNumberFormat="0" applyFont="0" applyBorder="0" applyAlignment="0" applyProtection="0"/>
    <xf numFmtId="0" fontId="9" fillId="142" borderId="0" applyNumberFormat="0" applyFont="0" applyBorder="0" applyAlignment="0" applyProtection="0"/>
    <xf numFmtId="0" fontId="223" fillId="143" borderId="6"/>
    <xf numFmtId="0" fontId="9" fillId="0" borderId="109"/>
    <xf numFmtId="0" fontId="9" fillId="0" borderId="109"/>
    <xf numFmtId="0" fontId="9" fillId="0" borderId="109"/>
    <xf numFmtId="0" fontId="9" fillId="0" borderId="109"/>
    <xf numFmtId="0" fontId="9" fillId="0" borderId="109"/>
    <xf numFmtId="0" fontId="9" fillId="0" borderId="109"/>
    <xf numFmtId="0" fontId="9" fillId="0" borderId="109"/>
    <xf numFmtId="0" fontId="1" fillId="0" borderId="0"/>
    <xf numFmtId="0" fontId="12" fillId="0" borderId="0"/>
    <xf numFmtId="0" fontId="245" fillId="0" borderId="0"/>
    <xf numFmtId="0" fontId="246" fillId="0" borderId="0"/>
    <xf numFmtId="0" fontId="9" fillId="0" borderId="0"/>
    <xf numFmtId="0" fontId="1" fillId="0" borderId="0"/>
    <xf numFmtId="0" fontId="9" fillId="0" borderId="0"/>
    <xf numFmtId="0" fontId="9" fillId="0" borderId="0"/>
    <xf numFmtId="0" fontId="236" fillId="0" borderId="0"/>
    <xf numFmtId="0" fontId="1" fillId="0" borderId="0"/>
    <xf numFmtId="0" fontId="9" fillId="0" borderId="0"/>
    <xf numFmtId="0" fontId="9" fillId="0" borderId="0">
      <alignment vertical="top"/>
    </xf>
    <xf numFmtId="0" fontId="9" fillId="0" borderId="0" applyAlignment="0"/>
    <xf numFmtId="0" fontId="9" fillId="0" borderId="0"/>
    <xf numFmtId="0" fontId="9" fillId="0" borderId="0">
      <alignment vertical="top"/>
    </xf>
    <xf numFmtId="0" fontId="9" fillId="0" borderId="0"/>
    <xf numFmtId="0" fontId="9" fillId="0" borderId="0"/>
    <xf numFmtId="0" fontId="9" fillId="0" borderId="0"/>
    <xf numFmtId="0" fontId="208" fillId="0" borderId="0"/>
    <xf numFmtId="0" fontId="236" fillId="0" borderId="0"/>
    <xf numFmtId="0" fontId="1" fillId="0" borderId="0"/>
    <xf numFmtId="0" fontId="9" fillId="0" borderId="0"/>
    <xf numFmtId="0" fontId="9" fillId="0" borderId="0"/>
    <xf numFmtId="0" fontId="9" fillId="0" borderId="0"/>
    <xf numFmtId="0" fontId="208" fillId="0" borderId="0"/>
    <xf numFmtId="0" fontId="9" fillId="0" borderId="0"/>
    <xf numFmtId="0" fontId="1" fillId="0" borderId="0"/>
    <xf numFmtId="0" fontId="9" fillId="0" borderId="0">
      <alignment vertical="top"/>
    </xf>
    <xf numFmtId="0" fontId="9" fillId="0" borderId="0">
      <alignment vertical="top"/>
    </xf>
    <xf numFmtId="0" fontId="52" fillId="0" borderId="0"/>
    <xf numFmtId="0" fontId="1" fillId="0" borderId="0"/>
    <xf numFmtId="0" fontId="1" fillId="0" borderId="0"/>
    <xf numFmtId="0" fontId="1" fillId="0" borderId="0"/>
    <xf numFmtId="0" fontId="51" fillId="17" borderId="0"/>
    <xf numFmtId="0" fontId="51" fillId="17" borderId="0"/>
    <xf numFmtId="0" fontId="9" fillId="0" borderId="0"/>
    <xf numFmtId="0" fontId="9" fillId="0" borderId="0"/>
    <xf numFmtId="3"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9" fillId="0" borderId="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0" fontId="9" fillId="0" borderId="0" applyNumberFormat="0" applyFill="0" applyBorder="0" applyAlignment="0" applyProtection="0"/>
    <xf numFmtId="40" fontId="247" fillId="0" borderId="0" applyBorder="0">
      <alignment horizontal="right"/>
    </xf>
    <xf numFmtId="0" fontId="131" fillId="0" borderId="0">
      <alignment horizontal="left" vertical="center" wrapText="1" indent="2"/>
      <protection locked="0"/>
    </xf>
    <xf numFmtId="0" fontId="214" fillId="0" borderId="4">
      <alignment horizontal="center"/>
    </xf>
    <xf numFmtId="0" fontId="214" fillId="0" borderId="4">
      <alignment horizontal="centerContinuous"/>
    </xf>
    <xf numFmtId="0" fontId="214" fillId="0" borderId="4">
      <alignment horizontal="centerContinuous"/>
    </xf>
    <xf numFmtId="0" fontId="214" fillId="0" borderId="4">
      <alignment horizontal="centerContinuous"/>
    </xf>
    <xf numFmtId="0" fontId="214" fillId="0" borderId="4">
      <alignment horizontal="centerContinuous"/>
    </xf>
    <xf numFmtId="0" fontId="214" fillId="0" borderId="4">
      <alignment horizontal="center"/>
    </xf>
    <xf numFmtId="0" fontId="75" fillId="0" borderId="4" applyBorder="0" applyProtection="0">
      <alignment horizontal="right" vertical="center"/>
    </xf>
    <xf numFmtId="295" fontId="75" fillId="0" borderId="0" applyBorder="0" applyProtection="0">
      <alignment vertical="center"/>
    </xf>
    <xf numFmtId="0" fontId="38" fillId="0" borderId="100" applyFill="0" applyBorder="0" applyProtection="0">
      <alignment horizontal="left" vertical="top"/>
    </xf>
    <xf numFmtId="0" fontId="2" fillId="24" borderId="0" applyNumberFormat="0" applyBorder="0">
      <alignment horizontal="center" wrapText="1"/>
    </xf>
    <xf numFmtId="0" fontId="2" fillId="24" borderId="0" applyNumberFormat="0" applyBorder="0">
      <alignment horizontal="center" wrapText="1"/>
    </xf>
    <xf numFmtId="0" fontId="9" fillId="0" borderId="0"/>
    <xf numFmtId="0" fontId="9" fillId="0" borderId="0"/>
    <xf numFmtId="0" fontId="9" fillId="0" borderId="0"/>
    <xf numFmtId="0" fontId="9" fillId="0" borderId="0"/>
    <xf numFmtId="0" fontId="9" fillId="0" borderId="0"/>
    <xf numFmtId="0" fontId="16" fillId="0" borderId="0">
      <alignment horizontal="left" vertical="center" wrapText="1" indent="2"/>
      <protection locked="0"/>
    </xf>
    <xf numFmtId="0" fontId="92" fillId="0" borderId="0" applyFill="0" applyBorder="0" applyAlignment="0"/>
    <xf numFmtId="0" fontId="92" fillId="0" borderId="0" applyFill="0" applyBorder="0" applyAlignment="0"/>
    <xf numFmtId="0" fontId="248" fillId="0" borderId="0" applyNumberFormat="0" applyFill="0" applyBorder="0" applyAlignment="0" applyProtection="0"/>
    <xf numFmtId="0" fontId="249" fillId="0" borderId="4" applyFill="0" applyAlignment="0" applyProtection="0"/>
    <xf numFmtId="0" fontId="249" fillId="0" borderId="4" applyFill="0" applyAlignment="0" applyProtection="0"/>
    <xf numFmtId="0" fontId="248" fillId="0" borderId="0" applyNumberFormat="0" applyFill="0" applyBorder="0" applyAlignment="0" applyProtection="0"/>
    <xf numFmtId="0" fontId="248" fillId="0" borderId="0" applyNumberFormat="0" applyFill="0" applyBorder="0" applyAlignment="0" applyProtection="0"/>
    <xf numFmtId="0" fontId="248" fillId="0" borderId="0" applyNumberFormat="0" applyFill="0" applyBorder="0" applyAlignment="0" applyProtection="0"/>
    <xf numFmtId="0" fontId="9" fillId="1" borderId="0" applyNumberFormat="0" applyBorder="0" applyProtection="0">
      <alignment horizontal="left" vertical="center"/>
    </xf>
    <xf numFmtId="0" fontId="9" fillId="1" borderId="0" applyNumberFormat="0" applyBorder="0" applyProtection="0">
      <alignment horizontal="left" vertical="center"/>
    </xf>
    <xf numFmtId="0" fontId="9" fillId="1" borderId="0" applyNumberFormat="0" applyBorder="0" applyProtection="0">
      <alignment horizontal="left" vertical="center"/>
    </xf>
    <xf numFmtId="0" fontId="9" fillId="1" borderId="0" applyNumberFormat="0" applyBorder="0" applyProtection="0">
      <alignment horizontal="left" vertical="center"/>
    </xf>
    <xf numFmtId="0" fontId="9" fillId="1" borderId="0" applyNumberFormat="0" applyBorder="0" applyProtection="0">
      <alignment horizontal="left" vertical="center"/>
    </xf>
    <xf numFmtId="0" fontId="9" fillId="1" borderId="0" applyNumberFormat="0" applyBorder="0" applyProtection="0">
      <alignment horizontal="left" vertical="center"/>
    </xf>
    <xf numFmtId="0" fontId="9" fillId="1" borderId="0" applyNumberFormat="0" applyBorder="0" applyProtection="0">
      <alignment horizontal="left" vertical="center"/>
    </xf>
    <xf numFmtId="0" fontId="6" fillId="0" borderId="114">
      <alignment horizontal="right" wrapText="1"/>
    </xf>
    <xf numFmtId="0" fontId="218" fillId="0" borderId="77" applyNumberFormat="0" applyFont="0" applyFill="0" applyAlignment="0" applyProtection="0"/>
    <xf numFmtId="0" fontId="9" fillId="0" borderId="7"/>
    <xf numFmtId="0" fontId="9" fillId="0" borderId="7"/>
    <xf numFmtId="0" fontId="9" fillId="0" borderId="7"/>
    <xf numFmtId="0" fontId="9" fillId="0" borderId="7"/>
    <xf numFmtId="0" fontId="9" fillId="0" borderId="7"/>
    <xf numFmtId="0" fontId="9" fillId="0" borderId="7"/>
    <xf numFmtId="0" fontId="9" fillId="0" borderId="7"/>
    <xf numFmtId="0" fontId="9" fillId="0" borderId="7"/>
    <xf numFmtId="0" fontId="9" fillId="0" borderId="7"/>
    <xf numFmtId="0" fontId="129" fillId="0" borderId="123" applyNumberFormat="0" applyFill="0" applyAlignment="0" applyProtection="0"/>
    <xf numFmtId="0" fontId="129" fillId="0" borderId="123" applyNumberFormat="0" applyFill="0" applyAlignment="0" applyProtection="0"/>
    <xf numFmtId="0" fontId="187" fillId="0" borderId="0">
      <alignment horizontal="left" vertical="center"/>
    </xf>
    <xf numFmtId="0" fontId="189" fillId="0" borderId="0">
      <alignment horizontal="left" vertical="center"/>
    </xf>
    <xf numFmtId="0" fontId="190" fillId="0" borderId="0">
      <alignment horizontal="left" vertical="center"/>
    </xf>
    <xf numFmtId="0" fontId="169" fillId="49" borderId="120" applyNumberFormat="0" applyAlignment="0" applyProtection="0"/>
    <xf numFmtId="38" fontId="9" fillId="0" borderId="0">
      <alignment horizontal="right"/>
    </xf>
    <xf numFmtId="38" fontId="9" fillId="0" borderId="0">
      <alignment horizontal="right"/>
    </xf>
    <xf numFmtId="38" fontId="9" fillId="0" borderId="0">
      <alignment horizontal="right"/>
    </xf>
    <xf numFmtId="38" fontId="9" fillId="0" borderId="0">
      <alignment horizontal="right"/>
    </xf>
    <xf numFmtId="38" fontId="9" fillId="0" borderId="0">
      <alignment horizontal="right"/>
    </xf>
    <xf numFmtId="38" fontId="9" fillId="0" borderId="0">
      <alignment horizontal="right"/>
    </xf>
    <xf numFmtId="38" fontId="9" fillId="0" borderId="0">
      <alignment horizontal="right"/>
    </xf>
    <xf numFmtId="0" fontId="22" fillId="0" borderId="0" applyNumberFormat="0"/>
    <xf numFmtId="0" fontId="9" fillId="17" borderId="0">
      <alignment horizontal="center"/>
    </xf>
    <xf numFmtId="0" fontId="9" fillId="17" borderId="0">
      <alignment horizontal="center"/>
    </xf>
    <xf numFmtId="0" fontId="9" fillId="17" borderId="0">
      <alignment horizontal="center"/>
    </xf>
    <xf numFmtId="0" fontId="9" fillId="17" borderId="0">
      <alignment horizontal="center"/>
    </xf>
    <xf numFmtId="0" fontId="9" fillId="17" borderId="0">
      <alignment horizontal="center"/>
    </xf>
    <xf numFmtId="0" fontId="9" fillId="17" borderId="0">
      <alignment horizontal="center"/>
    </xf>
    <xf numFmtId="0" fontId="9" fillId="17" borderId="0">
      <alignment horizontal="center"/>
    </xf>
    <xf numFmtId="310" fontId="9" fillId="0" borderId="0" applyFont="0" applyFill="0" applyBorder="0" applyAlignment="0" applyProtection="0"/>
    <xf numFmtId="170" fontId="9" fillId="0" borderId="0" applyFont="0" applyFill="0" applyBorder="0" applyAlignment="0" applyProtection="0"/>
    <xf numFmtId="170" fontId="9" fillId="0" borderId="0" applyFont="0" applyFill="0" applyBorder="0" applyAlignment="0" applyProtection="0"/>
    <xf numFmtId="170" fontId="9" fillId="0" borderId="0" applyFont="0" applyFill="0" applyBorder="0" applyAlignment="0" applyProtection="0"/>
    <xf numFmtId="170" fontId="9" fillId="0" borderId="0" applyFont="0" applyFill="0" applyBorder="0" applyAlignment="0" applyProtection="0"/>
    <xf numFmtId="170" fontId="9" fillId="0" borderId="0" applyFont="0" applyFill="0" applyBorder="0" applyAlignment="0" applyProtection="0"/>
    <xf numFmtId="170" fontId="9"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2" fillId="0" borderId="0" applyFont="0" applyFill="0" applyBorder="0" applyAlignment="0" applyProtection="0"/>
    <xf numFmtId="0" fontId="229" fillId="0" borderId="0" applyNumberFormat="0" applyFill="0" applyBorder="0" applyAlignment="0" applyProtection="0"/>
    <xf numFmtId="0" fontId="250" fillId="0" borderId="0" applyNumberFormat="0" applyFill="0" applyBorder="0" applyAlignment="0" applyProtection="0"/>
    <xf numFmtId="0" fontId="250" fillId="0" borderId="0" applyNumberFormat="0" applyFill="0" applyBorder="0" applyAlignment="0" applyProtection="0"/>
    <xf numFmtId="0" fontId="9" fillId="87" borderId="0" applyNumberFormat="0" applyBorder="0" applyProtection="0">
      <alignment horizontal="left"/>
    </xf>
    <xf numFmtId="0" fontId="9" fillId="87" borderId="0" applyNumberFormat="0" applyBorder="0" applyProtection="0">
      <alignment horizontal="left"/>
    </xf>
    <xf numFmtId="0" fontId="9" fillId="87" borderId="0" applyNumberFormat="0" applyBorder="0" applyProtection="0">
      <alignment horizontal="left"/>
    </xf>
    <xf numFmtId="0" fontId="9" fillId="87" borderId="0" applyNumberFormat="0" applyBorder="0" applyProtection="0">
      <alignment horizontal="left"/>
    </xf>
    <xf numFmtId="0" fontId="9" fillId="87" borderId="0" applyNumberFormat="0" applyBorder="0" applyProtection="0">
      <alignment horizontal="left"/>
    </xf>
    <xf numFmtId="0" fontId="9" fillId="87" borderId="0" applyNumberFormat="0" applyBorder="0" applyProtection="0">
      <alignment horizontal="left"/>
    </xf>
    <xf numFmtId="0" fontId="9" fillId="87" borderId="0" applyNumberFormat="0" applyBorder="0" applyProtection="0">
      <alignment horizontal="left"/>
    </xf>
    <xf numFmtId="0" fontId="251" fillId="144" borderId="0" applyNumberFormat="0" applyBorder="0"/>
    <xf numFmtId="0" fontId="252" fillId="145" borderId="0">
      <alignment vertical="center"/>
    </xf>
    <xf numFmtId="0" fontId="80" fillId="0" borderId="4" applyBorder="0" applyProtection="0">
      <alignment horizontal="right"/>
    </xf>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0" fontId="9" fillId="0" borderId="0" applyNumberFormat="0" applyFill="0" applyBorder="0" applyAlignment="0" applyProtection="0">
      <alignment vertical="top"/>
      <protection locked="0"/>
    </xf>
    <xf numFmtId="0" fontId="9" fillId="0" borderId="0" applyFont="0" applyFill="0" applyBorder="0" applyAlignment="0" applyProtection="0"/>
    <xf numFmtId="0" fontId="9" fillId="0" borderId="0" applyFont="0" applyFill="0" applyBorder="0" applyAlignment="0" applyProtection="0"/>
    <xf numFmtId="0" fontId="9" fillId="0" borderId="0"/>
    <xf numFmtId="0" fontId="9" fillId="0" borderId="0" applyNumberFormat="0" applyFill="0" applyBorder="0" applyAlignment="0" applyProtection="0">
      <alignment vertical="top"/>
      <protection locked="0"/>
    </xf>
    <xf numFmtId="0" fontId="9" fillId="0" borderId="0" applyFont="0" applyFill="0" applyBorder="0" applyAlignment="0" applyProtection="0"/>
    <xf numFmtId="0" fontId="9"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263" fillId="0" borderId="0"/>
    <xf numFmtId="0" fontId="9" fillId="0" borderId="0"/>
    <xf numFmtId="0" fontId="216" fillId="76" borderId="0" applyNumberFormat="0" applyBorder="0" applyAlignment="0" applyProtection="0"/>
    <xf numFmtId="0" fontId="217" fillId="49" borderId="112" applyNumberFormat="0" applyAlignment="0" applyProtection="0"/>
    <xf numFmtId="0" fontId="117" fillId="139" borderId="73" applyNumberFormat="0" applyAlignment="0" applyProtection="0"/>
    <xf numFmtId="0" fontId="229" fillId="0" borderId="0" applyNumberFormat="0" applyFill="0" applyBorder="0" applyAlignment="0" applyProtection="0"/>
    <xf numFmtId="0" fontId="158" fillId="133" borderId="0" applyNumberFormat="0" applyBorder="0" applyAlignment="0" applyProtection="0"/>
    <xf numFmtId="0" fontId="232" fillId="0" borderId="115" applyNumberFormat="0" applyFill="0" applyAlignment="0" applyProtection="0"/>
    <xf numFmtId="0" fontId="134" fillId="0" borderId="0" applyProtection="0">
      <alignment horizontal="left"/>
    </xf>
    <xf numFmtId="0" fontId="135" fillId="0" borderId="0" applyProtection="0">
      <alignment horizontal="left"/>
    </xf>
    <xf numFmtId="0" fontId="234" fillId="0" borderId="0" applyNumberFormat="0" applyFill="0" applyBorder="0" applyAlignment="0" applyProtection="0"/>
    <xf numFmtId="0" fontId="230" fillId="0" borderId="113" applyNumberFormat="0" applyFill="0" applyAlignment="0" applyProtection="0"/>
    <xf numFmtId="0" fontId="238" fillId="27" borderId="0" applyNumberFormat="0" applyBorder="0" applyAlignment="0" applyProtection="0"/>
    <xf numFmtId="0" fontId="9" fillId="96" borderId="118" applyNumberFormat="0" applyFont="0" applyAlignment="0" applyProtection="0"/>
    <xf numFmtId="0" fontId="169" fillId="49" borderId="120" applyNumberFormat="0" applyAlignment="0" applyProtection="0"/>
    <xf numFmtId="3" fontId="2" fillId="0" borderId="0" applyNumberFormat="0" applyFill="0" applyBorder="0" applyAlignment="0" applyProtection="0">
      <alignment vertical="center"/>
    </xf>
    <xf numFmtId="318" fontId="249" fillId="0" borderId="4" applyFill="0" applyAlignment="0" applyProtection="0"/>
    <xf numFmtId="0" fontId="129" fillId="0" borderId="123" applyNumberFormat="0" applyFill="0" applyAlignment="0" applyProtection="0"/>
    <xf numFmtId="0" fontId="250" fillId="0" borderId="0" applyNumberFormat="0" applyFill="0" applyBorder="0" applyAlignment="0" applyProtection="0"/>
  </cellStyleXfs>
  <cellXfs count="1112">
    <xf numFmtId="0" fontId="0" fillId="0" borderId="0" xfId="0"/>
    <xf numFmtId="0" fontId="3" fillId="0" borderId="3" xfId="0" applyFont="1" applyBorder="1" applyProtection="1">
      <protection locked="0"/>
    </xf>
    <xf numFmtId="0" fontId="3" fillId="0" borderId="3" xfId="0" applyFont="1" applyFill="1" applyBorder="1" applyAlignment="1" applyProtection="1">
      <alignment horizontal="center"/>
    </xf>
    <xf numFmtId="0" fontId="4" fillId="0" borderId="3" xfId="0" applyFont="1" applyBorder="1" applyAlignment="1" applyProtection="1">
      <alignment horizontal="center"/>
    </xf>
    <xf numFmtId="0" fontId="5" fillId="0" borderId="0" xfId="0" applyFont="1"/>
    <xf numFmtId="0" fontId="5" fillId="0" borderId="0" xfId="0" applyFont="1" applyAlignment="1" applyProtection="1"/>
    <xf numFmtId="0" fontId="6" fillId="0" borderId="0" xfId="0" applyFont="1" applyProtection="1"/>
    <xf numFmtId="0" fontId="5" fillId="0" borderId="0" xfId="0" applyFont="1" applyProtection="1"/>
    <xf numFmtId="0" fontId="6" fillId="0" borderId="0" xfId="0" applyFont="1" applyAlignment="1" applyProtection="1">
      <alignment horizontal="center"/>
    </xf>
    <xf numFmtId="0" fontId="6" fillId="0" borderId="0" xfId="0" applyFont="1" applyAlignment="1">
      <alignment vertical="center" wrapText="1"/>
    </xf>
    <xf numFmtId="0" fontId="6" fillId="0" borderId="0" xfId="0" applyFont="1" applyAlignment="1">
      <alignment horizontal="center" vertical="center" wrapText="1"/>
    </xf>
    <xf numFmtId="0" fontId="5" fillId="0" borderId="0" xfId="0" applyFont="1" applyFill="1" applyBorder="1" applyAlignment="1" applyProtection="1"/>
    <xf numFmtId="0" fontId="7" fillId="0" borderId="0" xfId="0" applyFont="1" applyProtection="1"/>
    <xf numFmtId="0" fontId="5" fillId="0" borderId="2" xfId="3" applyFont="1" applyFill="1" applyBorder="1"/>
    <xf numFmtId="168" fontId="5" fillId="0" borderId="2" xfId="2" applyNumberFormat="1" applyFont="1" applyFill="1" applyBorder="1"/>
    <xf numFmtId="0" fontId="8" fillId="0" borderId="3" xfId="0" applyFont="1" applyBorder="1" applyProtection="1"/>
    <xf numFmtId="0" fontId="44" fillId="4" borderId="0" xfId="0" applyFont="1" applyFill="1" applyBorder="1"/>
    <xf numFmtId="0" fontId="44" fillId="4" borderId="0" xfId="5" applyFont="1" applyFill="1" applyBorder="1"/>
    <xf numFmtId="49" fontId="44" fillId="4" borderId="0" xfId="0" applyNumberFormat="1" applyFont="1" applyFill="1" applyBorder="1"/>
    <xf numFmtId="0" fontId="7" fillId="4" borderId="0" xfId="0" applyFont="1" applyFill="1" applyBorder="1"/>
    <xf numFmtId="0" fontId="44" fillId="0" borderId="0" xfId="0" applyFont="1" applyFill="1" applyBorder="1"/>
    <xf numFmtId="0" fontId="6" fillId="5" borderId="0" xfId="0" applyFont="1" applyFill="1"/>
    <xf numFmtId="0" fontId="5" fillId="5" borderId="0" xfId="0" applyFont="1" applyFill="1"/>
    <xf numFmtId="0" fontId="6" fillId="4" borderId="0" xfId="5" applyFont="1" applyFill="1" applyBorder="1"/>
    <xf numFmtId="0" fontId="6" fillId="4" borderId="0" xfId="0" applyFont="1" applyFill="1" applyBorder="1"/>
    <xf numFmtId="0" fontId="6" fillId="4" borderId="0" xfId="0" applyFont="1" applyFill="1" applyBorder="1" applyAlignment="1">
      <alignment horizontal="left"/>
    </xf>
    <xf numFmtId="0" fontId="44" fillId="4" borderId="4" xfId="0" applyFont="1" applyFill="1" applyBorder="1"/>
    <xf numFmtId="0" fontId="44" fillId="4" borderId="4" xfId="5" applyFont="1" applyFill="1" applyBorder="1"/>
    <xf numFmtId="49" fontId="44" fillId="4" borderId="4" xfId="0" applyNumberFormat="1" applyFont="1" applyFill="1" applyBorder="1"/>
    <xf numFmtId="0" fontId="7" fillId="4" borderId="4" xfId="0" applyFont="1" applyFill="1" applyBorder="1"/>
    <xf numFmtId="0" fontId="44" fillId="6" borderId="0" xfId="0" applyFont="1" applyFill="1" applyBorder="1"/>
    <xf numFmtId="0" fontId="6" fillId="6" borderId="0" xfId="5" applyFont="1" applyFill="1" applyBorder="1"/>
    <xf numFmtId="0" fontId="81" fillId="6" borderId="0" xfId="5" applyFont="1" applyFill="1" applyBorder="1"/>
    <xf numFmtId="0" fontId="82" fillId="6" borderId="0" xfId="0" applyFont="1" applyFill="1" applyBorder="1"/>
    <xf numFmtId="0" fontId="44" fillId="6" borderId="0" xfId="5" applyFont="1" applyFill="1" applyBorder="1"/>
    <xf numFmtId="0" fontId="83" fillId="7" borderId="0" xfId="5" applyFont="1" applyFill="1" applyBorder="1"/>
    <xf numFmtId="0" fontId="83" fillId="7" borderId="0" xfId="6" applyFont="1" applyFill="1" applyBorder="1"/>
    <xf numFmtId="44" fontId="83" fillId="7" borderId="0" xfId="7" applyFont="1" applyFill="1" applyBorder="1"/>
    <xf numFmtId="0" fontId="44" fillId="7" borderId="0" xfId="5" applyFont="1" applyFill="1" applyBorder="1"/>
    <xf numFmtId="0" fontId="6" fillId="0" borderId="0" xfId="6" applyFont="1" applyFill="1" applyBorder="1"/>
    <xf numFmtId="170" fontId="7" fillId="0" borderId="0" xfId="8" applyNumberFormat="1" applyFont="1" applyFill="1" applyBorder="1"/>
    <xf numFmtId="170" fontId="44" fillId="0" borderId="0" xfId="8" applyNumberFormat="1" applyFont="1" applyFill="1" applyBorder="1"/>
    <xf numFmtId="0" fontId="6" fillId="8" borderId="5" xfId="6" applyFont="1" applyFill="1" applyBorder="1"/>
    <xf numFmtId="0" fontId="44" fillId="0" borderId="6" xfId="0" applyFont="1" applyFill="1" applyBorder="1"/>
    <xf numFmtId="170" fontId="44" fillId="8" borderId="6" xfId="8" applyNumberFormat="1" applyFont="1" applyFill="1" applyBorder="1"/>
    <xf numFmtId="0" fontId="44" fillId="8" borderId="5" xfId="6" applyFont="1" applyFill="1" applyBorder="1"/>
    <xf numFmtId="0" fontId="7" fillId="0" borderId="6" xfId="0" applyFont="1" applyFill="1" applyBorder="1"/>
    <xf numFmtId="44" fontId="44" fillId="9" borderId="7" xfId="8" applyFont="1" applyFill="1" applyBorder="1"/>
    <xf numFmtId="0" fontId="84" fillId="0" borderId="0" xfId="0" applyFont="1" applyFill="1" applyBorder="1"/>
    <xf numFmtId="44" fontId="83" fillId="7" borderId="7" xfId="7" applyFont="1" applyFill="1" applyBorder="1"/>
    <xf numFmtId="0" fontId="44" fillId="0" borderId="5" xfId="6" applyFont="1" applyFill="1" applyBorder="1"/>
    <xf numFmtId="0" fontId="44" fillId="0" borderId="0" xfId="6" applyFont="1" applyFill="1" applyBorder="1"/>
    <xf numFmtId="0" fontId="7" fillId="0" borderId="0" xfId="0" applyFont="1" applyFill="1" applyBorder="1"/>
    <xf numFmtId="170" fontId="44" fillId="10" borderId="7" xfId="8" applyNumberFormat="1" applyFont="1" applyFill="1" applyBorder="1"/>
    <xf numFmtId="0" fontId="6" fillId="0" borderId="0" xfId="0" applyFont="1" applyFill="1" applyBorder="1"/>
    <xf numFmtId="0" fontId="44" fillId="0" borderId="8" xfId="0" applyFont="1" applyFill="1" applyBorder="1"/>
    <xf numFmtId="0" fontId="7" fillId="0" borderId="8" xfId="0" applyFont="1" applyFill="1" applyBorder="1"/>
    <xf numFmtId="0" fontId="44" fillId="0" borderId="7" xfId="0" applyFont="1" applyFill="1" applyBorder="1"/>
    <xf numFmtId="1" fontId="6" fillId="0" borderId="6" xfId="9" applyNumberFormat="1" applyFont="1" applyFill="1" applyBorder="1" applyAlignment="1">
      <alignment horizontal="center" vertical="center"/>
    </xf>
    <xf numFmtId="1" fontId="6" fillId="0" borderId="6" xfId="9" quotePrefix="1" applyNumberFormat="1" applyFont="1" applyFill="1" applyBorder="1" applyAlignment="1">
      <alignment horizontal="center" vertical="center"/>
    </xf>
    <xf numFmtId="170" fontId="44" fillId="10" borderId="6" xfId="8" applyNumberFormat="1" applyFont="1" applyFill="1" applyBorder="1" applyAlignment="1">
      <alignment horizontal="right"/>
    </xf>
    <xf numFmtId="0" fontId="7" fillId="8" borderId="5" xfId="6" applyFont="1" applyFill="1" applyBorder="1"/>
    <xf numFmtId="170" fontId="44" fillId="0" borderId="6" xfId="8" applyNumberFormat="1" applyFont="1" applyFill="1" applyBorder="1"/>
    <xf numFmtId="170" fontId="44" fillId="0" borderId="6" xfId="8" applyNumberFormat="1" applyFont="1" applyFill="1" applyBorder="1" applyAlignment="1">
      <alignment horizontal="right"/>
    </xf>
    <xf numFmtId="0" fontId="44" fillId="0" borderId="0" xfId="5" applyFont="1" applyFill="1" applyBorder="1"/>
    <xf numFmtId="0" fontId="44" fillId="0" borderId="0" xfId="10" applyFont="1" applyFill="1" applyBorder="1"/>
    <xf numFmtId="0" fontId="85" fillId="0" borderId="6" xfId="10" applyFont="1" applyFill="1" applyBorder="1"/>
    <xf numFmtId="0" fontId="7" fillId="0" borderId="6" xfId="10" applyFont="1" applyFill="1" applyBorder="1"/>
    <xf numFmtId="170" fontId="44" fillId="0" borderId="7" xfId="8" applyNumberFormat="1" applyFont="1" applyFill="1" applyBorder="1"/>
    <xf numFmtId="0" fontId="44" fillId="0" borderId="6" xfId="10" applyFont="1" applyFill="1" applyBorder="1"/>
    <xf numFmtId="0" fontId="86" fillId="0" borderId="6" xfId="10" applyFont="1" applyFill="1" applyBorder="1"/>
    <xf numFmtId="0" fontId="82" fillId="7" borderId="0" xfId="5" applyFont="1" applyFill="1" applyBorder="1"/>
    <xf numFmtId="44" fontId="82" fillId="7" borderId="0" xfId="7" applyFont="1" applyFill="1" applyBorder="1"/>
    <xf numFmtId="171" fontId="44" fillId="0" borderId="0" xfId="11" applyNumberFormat="1" applyFont="1" applyFill="1" applyBorder="1"/>
    <xf numFmtId="0" fontId="7" fillId="0" borderId="0" xfId="10" applyFont="1" applyFill="1" applyBorder="1"/>
    <xf numFmtId="0" fontId="44" fillId="8" borderId="6" xfId="6" applyFont="1" applyFill="1" applyBorder="1"/>
    <xf numFmtId="0" fontId="44" fillId="0" borderId="5" xfId="0" applyFont="1" applyFill="1" applyBorder="1"/>
    <xf numFmtId="0" fontId="7" fillId="0" borderId="7" xfId="0" applyFont="1" applyFill="1" applyBorder="1"/>
    <xf numFmtId="0" fontId="44" fillId="0" borderId="0" xfId="0" applyFont="1"/>
    <xf numFmtId="0" fontId="44" fillId="0" borderId="0" xfId="5" applyFont="1"/>
    <xf numFmtId="173" fontId="44" fillId="0" borderId="0" xfId="8" applyNumberFormat="1" applyFont="1" applyFill="1" applyBorder="1"/>
    <xf numFmtId="173" fontId="44" fillId="0" borderId="0" xfId="0" applyNumberFormat="1" applyFont="1" applyFill="1" applyBorder="1"/>
    <xf numFmtId="44" fontId="87" fillId="11" borderId="7" xfId="7" applyFont="1" applyFill="1" applyBorder="1"/>
    <xf numFmtId="174" fontId="44" fillId="0" borderId="0" xfId="0" applyNumberFormat="1" applyFont="1" applyFill="1" applyBorder="1"/>
    <xf numFmtId="0" fontId="86" fillId="0" borderId="0" xfId="10" applyFont="1" applyFill="1" applyBorder="1"/>
    <xf numFmtId="0" fontId="88" fillId="0" borderId="0" xfId="5" applyFont="1" applyFill="1" applyBorder="1"/>
    <xf numFmtId="0" fontId="44" fillId="0" borderId="6" xfId="6" applyFont="1" applyFill="1" applyBorder="1"/>
    <xf numFmtId="2" fontId="44" fillId="0" borderId="6" xfId="6" applyNumberFormat="1" applyFont="1" applyFill="1" applyBorder="1"/>
    <xf numFmtId="170" fontId="44" fillId="12" borderId="7" xfId="8" applyNumberFormat="1" applyFont="1" applyFill="1" applyBorder="1"/>
    <xf numFmtId="0" fontId="44" fillId="8" borderId="0" xfId="6" applyFont="1" applyFill="1" applyBorder="1"/>
    <xf numFmtId="170" fontId="44" fillId="10" borderId="0" xfId="8" applyNumberFormat="1" applyFont="1" applyFill="1" applyBorder="1"/>
    <xf numFmtId="0" fontId="44" fillId="8" borderId="6" xfId="6" applyFont="1" applyFill="1" applyBorder="1" applyAlignment="1"/>
    <xf numFmtId="44" fontId="44" fillId="0" borderId="0" xfId="7" applyFont="1" applyFill="1" applyBorder="1"/>
    <xf numFmtId="0" fontId="7" fillId="0" borderId="0" xfId="5" applyFont="1" applyFill="1" applyBorder="1"/>
    <xf numFmtId="44" fontId="44" fillId="10" borderId="6" xfId="7" applyFont="1" applyFill="1" applyBorder="1"/>
    <xf numFmtId="0" fontId="89" fillId="3" borderId="0" xfId="3" applyFont="1" applyFill="1"/>
    <xf numFmtId="0" fontId="5" fillId="32" borderId="0" xfId="0" applyFont="1" applyFill="1"/>
    <xf numFmtId="0" fontId="93" fillId="32" borderId="0" xfId="4" applyFont="1" applyFill="1"/>
    <xf numFmtId="0" fontId="93" fillId="32" borderId="38" xfId="4" applyFont="1" applyFill="1" applyBorder="1"/>
    <xf numFmtId="0" fontId="94" fillId="32" borderId="22" xfId="4" applyFont="1" applyFill="1" applyBorder="1"/>
    <xf numFmtId="0" fontId="94" fillId="32" borderId="36" xfId="4" applyFont="1" applyFill="1" applyBorder="1"/>
    <xf numFmtId="0" fontId="94" fillId="32" borderId="42" xfId="4" applyFont="1" applyFill="1" applyBorder="1"/>
    <xf numFmtId="0" fontId="94" fillId="32" borderId="63" xfId="4" applyFont="1" applyFill="1" applyBorder="1"/>
    <xf numFmtId="0" fontId="94" fillId="32" borderId="29" xfId="4" applyFont="1" applyFill="1" applyBorder="1"/>
    <xf numFmtId="0" fontId="94" fillId="32" borderId="12" xfId="4" applyFont="1" applyFill="1" applyBorder="1"/>
    <xf numFmtId="3" fontId="6" fillId="0" borderId="0" xfId="0" applyNumberFormat="1" applyFont="1" applyAlignment="1" applyProtection="1">
      <alignment horizontal="left" wrapText="1"/>
    </xf>
    <xf numFmtId="0" fontId="3" fillId="0" borderId="0" xfId="0" applyFont="1" applyProtection="1"/>
    <xf numFmtId="0" fontId="7" fillId="0" borderId="0" xfId="0" applyFont="1" applyBorder="1" applyProtection="1"/>
    <xf numFmtId="0" fontId="8" fillId="0" borderId="0" xfId="0" applyFont="1" applyProtection="1"/>
    <xf numFmtId="205" fontId="95" fillId="0" borderId="0" xfId="0" applyNumberFormat="1" applyFont="1"/>
    <xf numFmtId="0" fontId="95" fillId="0" borderId="0" xfId="0" applyFont="1"/>
    <xf numFmtId="2" fontId="95" fillId="0" borderId="0" xfId="0" applyNumberFormat="1" applyFont="1"/>
    <xf numFmtId="0" fontId="5" fillId="32" borderId="22" xfId="0" applyFont="1" applyFill="1" applyBorder="1"/>
    <xf numFmtId="0" fontId="5" fillId="32" borderId="42" xfId="0" applyFont="1" applyFill="1" applyBorder="1"/>
    <xf numFmtId="0" fontId="5" fillId="32" borderId="36" xfId="0" applyFont="1" applyFill="1" applyBorder="1"/>
    <xf numFmtId="0" fontId="89" fillId="0" borderId="8" xfId="0" applyFont="1" applyBorder="1" applyAlignment="1">
      <alignment wrapText="1"/>
    </xf>
    <xf numFmtId="0" fontId="89" fillId="0" borderId="7" xfId="0" applyFont="1" applyBorder="1" applyAlignment="1">
      <alignment wrapText="1"/>
    </xf>
    <xf numFmtId="0" fontId="96" fillId="0" borderId="0" xfId="0" applyFont="1"/>
    <xf numFmtId="0" fontId="89" fillId="0" borderId="0" xfId="0" applyFont="1"/>
    <xf numFmtId="0" fontId="5" fillId="0" borderId="66" xfId="0" applyFont="1" applyBorder="1"/>
    <xf numFmtId="0" fontId="5" fillId="0" borderId="16" xfId="0" applyFont="1" applyBorder="1"/>
    <xf numFmtId="0" fontId="89" fillId="33" borderId="9" xfId="0" applyFont="1" applyFill="1" applyBorder="1"/>
    <xf numFmtId="0" fontId="89" fillId="33" borderId="0" xfId="0" applyFont="1" applyFill="1" applyBorder="1"/>
    <xf numFmtId="0" fontId="89" fillId="33" borderId="16" xfId="0" applyFont="1" applyFill="1" applyBorder="1"/>
    <xf numFmtId="0" fontId="89" fillId="33" borderId="67" xfId="0" applyFont="1" applyFill="1" applyBorder="1" applyAlignment="1">
      <alignment wrapText="1"/>
    </xf>
    <xf numFmtId="0" fontId="89" fillId="33" borderId="4" xfId="0" applyFont="1" applyFill="1" applyBorder="1" applyAlignment="1">
      <alignment wrapText="1"/>
    </xf>
    <xf numFmtId="0" fontId="89" fillId="33" borderId="45" xfId="0" applyFont="1" applyFill="1" applyBorder="1" applyAlignment="1">
      <alignment wrapText="1"/>
    </xf>
    <xf numFmtId="0" fontId="5" fillId="35" borderId="5" xfId="0" applyFont="1" applyFill="1" applyBorder="1"/>
    <xf numFmtId="0" fontId="5" fillId="0" borderId="57" xfId="0" applyFont="1" applyBorder="1"/>
    <xf numFmtId="0" fontId="5" fillId="0" borderId="9" xfId="0" applyFont="1" applyBorder="1"/>
    <xf numFmtId="0" fontId="5" fillId="0" borderId="67" xfId="0" applyFont="1" applyBorder="1"/>
    <xf numFmtId="0" fontId="5" fillId="0" borderId="45" xfId="0" applyFont="1" applyBorder="1"/>
    <xf numFmtId="0" fontId="5" fillId="0" borderId="65" xfId="0" applyFont="1" applyBorder="1"/>
    <xf numFmtId="0" fontId="5" fillId="0" borderId="0" xfId="0" applyFont="1" applyBorder="1"/>
    <xf numFmtId="0" fontId="5" fillId="0" borderId="4" xfId="0" applyFont="1" applyBorder="1"/>
    <xf numFmtId="2" fontId="5" fillId="0" borderId="66" xfId="0" applyNumberFormat="1" applyFont="1" applyBorder="1"/>
    <xf numFmtId="2" fontId="5" fillId="0" borderId="16" xfId="0" applyNumberFormat="1" applyFont="1" applyBorder="1"/>
    <xf numFmtId="2" fontId="5" fillId="0" borderId="57" xfId="0" applyNumberFormat="1" applyFont="1" applyBorder="1"/>
    <xf numFmtId="2" fontId="5" fillId="0" borderId="9" xfId="0" applyNumberFormat="1" applyFont="1" applyBorder="1"/>
    <xf numFmtId="2" fontId="5" fillId="0" borderId="45" xfId="0" applyNumberFormat="1" applyFont="1" applyBorder="1"/>
    <xf numFmtId="0" fontId="5" fillId="35" borderId="8" xfId="0" applyFont="1" applyFill="1" applyBorder="1" applyAlignment="1">
      <alignment wrapText="1"/>
    </xf>
    <xf numFmtId="2" fontId="5" fillId="0" borderId="65" xfId="0" applyNumberFormat="1" applyFont="1" applyBorder="1"/>
    <xf numFmtId="2" fontId="5" fillId="0" borderId="0" xfId="0" applyNumberFormat="1" applyFont="1" applyBorder="1"/>
    <xf numFmtId="2" fontId="5" fillId="0" borderId="4" xfId="0" applyNumberFormat="1" applyFont="1" applyBorder="1"/>
    <xf numFmtId="9" fontId="5" fillId="0" borderId="65" xfId="2" applyFont="1" applyBorder="1"/>
    <xf numFmtId="9" fontId="5" fillId="0" borderId="0" xfId="2" applyFont="1" applyBorder="1"/>
    <xf numFmtId="9" fontId="5" fillId="0" borderId="4" xfId="2" applyFont="1" applyBorder="1"/>
    <xf numFmtId="43" fontId="5" fillId="0" borderId="57" xfId="1" applyFont="1" applyBorder="1"/>
    <xf numFmtId="43" fontId="5" fillId="0" borderId="9" xfId="1" applyFont="1" applyBorder="1"/>
    <xf numFmtId="43" fontId="5" fillId="0" borderId="0" xfId="1" applyFont="1" applyBorder="1"/>
    <xf numFmtId="0" fontId="89" fillId="0" borderId="6" xfId="0" applyFont="1" applyBorder="1" applyAlignment="1">
      <alignment wrapText="1"/>
    </xf>
    <xf numFmtId="43" fontId="5" fillId="0" borderId="67" xfId="1" applyFont="1" applyBorder="1"/>
    <xf numFmtId="9" fontId="95" fillId="0" borderId="0" xfId="2" applyFont="1"/>
    <xf numFmtId="0" fontId="89" fillId="0" borderId="0" xfId="0" applyFont="1" applyAlignment="1">
      <alignment horizontal="right"/>
    </xf>
    <xf numFmtId="0" fontId="5" fillId="0" borderId="5" xfId="0" applyFont="1" applyBorder="1"/>
    <xf numFmtId="0" fontId="5" fillId="0" borderId="8" xfId="0" applyFont="1" applyBorder="1"/>
    <xf numFmtId="43" fontId="5" fillId="0" borderId="66" xfId="0" applyNumberFormat="1" applyFont="1" applyBorder="1"/>
    <xf numFmtId="43" fontId="5" fillId="0" borderId="16" xfId="0" applyNumberFormat="1" applyFont="1" applyBorder="1"/>
    <xf numFmtId="0" fontId="5" fillId="0" borderId="7" xfId="0" applyFont="1" applyBorder="1" applyAlignment="1">
      <alignment horizontal="center" wrapText="1"/>
    </xf>
    <xf numFmtId="0" fontId="0" fillId="0" borderId="7" xfId="0" applyBorder="1" applyAlignment="1"/>
    <xf numFmtId="0" fontId="5" fillId="35" borderId="4" xfId="0" applyFont="1" applyFill="1" applyBorder="1"/>
    <xf numFmtId="0" fontId="5" fillId="35" borderId="45" xfId="0" applyFont="1" applyFill="1" applyBorder="1"/>
    <xf numFmtId="0" fontId="5" fillId="37" borderId="5" xfId="0" applyFont="1" applyFill="1" applyBorder="1"/>
    <xf numFmtId="0" fontId="5" fillId="37" borderId="8" xfId="0" applyFont="1" applyFill="1" applyBorder="1"/>
    <xf numFmtId="0" fontId="5" fillId="37" borderId="7" xfId="0" applyFont="1" applyFill="1" applyBorder="1"/>
    <xf numFmtId="43" fontId="5" fillId="0" borderId="10" xfId="0" applyNumberFormat="1" applyFont="1" applyBorder="1"/>
    <xf numFmtId="43" fontId="5" fillId="0" borderId="15" xfId="0" applyNumberFormat="1" applyFont="1" applyBorder="1"/>
    <xf numFmtId="43" fontId="5" fillId="0" borderId="57" xfId="0" applyNumberFormat="1" applyFont="1" applyBorder="1"/>
    <xf numFmtId="43" fontId="5" fillId="0" borderId="9" xfId="0" applyNumberFormat="1" applyFont="1" applyBorder="1"/>
    <xf numFmtId="0" fontId="89" fillId="0" borderId="4" xfId="0" applyFont="1" applyBorder="1" applyAlignment="1">
      <alignment wrapText="1"/>
    </xf>
    <xf numFmtId="0" fontId="89" fillId="0" borderId="45" xfId="0" applyFont="1" applyBorder="1" applyAlignment="1">
      <alignment wrapText="1"/>
    </xf>
    <xf numFmtId="0" fontId="89" fillId="0" borderId="67" xfId="0" applyFont="1" applyBorder="1" applyAlignment="1">
      <alignment wrapText="1"/>
    </xf>
    <xf numFmtId="2" fontId="5" fillId="0" borderId="0" xfId="0" applyNumberFormat="1" applyFont="1"/>
    <xf numFmtId="9" fontId="5" fillId="0" borderId="0" xfId="2" applyNumberFormat="1" applyFont="1" applyBorder="1"/>
    <xf numFmtId="0" fontId="5" fillId="37" borderId="7" xfId="0" applyFont="1" applyFill="1" applyBorder="1" applyAlignment="1">
      <alignment wrapText="1"/>
    </xf>
    <xf numFmtId="0" fontId="5" fillId="38" borderId="4" xfId="0" applyFont="1" applyFill="1" applyBorder="1" applyAlignment="1">
      <alignment wrapText="1"/>
    </xf>
    <xf numFmtId="0" fontId="5" fillId="38" borderId="7" xfId="0" applyFont="1" applyFill="1" applyBorder="1" applyAlignment="1"/>
    <xf numFmtId="0" fontId="5" fillId="38" borderId="4" xfId="0" applyFont="1" applyFill="1" applyBorder="1"/>
    <xf numFmtId="0" fontId="5" fillId="32" borderId="0" xfId="0" applyFont="1" applyFill="1" applyBorder="1"/>
    <xf numFmtId="9" fontId="5" fillId="0" borderId="0" xfId="2" applyFont="1"/>
    <xf numFmtId="43" fontId="5" fillId="0" borderId="0" xfId="0" applyNumberFormat="1" applyFont="1"/>
    <xf numFmtId="0" fontId="3" fillId="0" borderId="0" xfId="0" applyFont="1" applyBorder="1" applyProtection="1"/>
    <xf numFmtId="0" fontId="5" fillId="0" borderId="15" xfId="0" applyFont="1" applyBorder="1"/>
    <xf numFmtId="0" fontId="5" fillId="0" borderId="46" xfId="0" applyFont="1" applyBorder="1"/>
    <xf numFmtId="0" fontId="89" fillId="0" borderId="63" xfId="0" applyFont="1" applyBorder="1" applyAlignment="1">
      <alignment wrapText="1"/>
    </xf>
    <xf numFmtId="0" fontId="89" fillId="0" borderId="12" xfId="0" applyFont="1" applyBorder="1" applyAlignment="1">
      <alignment wrapText="1"/>
    </xf>
    <xf numFmtId="0" fontId="89" fillId="0" borderId="29" xfId="0" applyFont="1" applyBorder="1" applyAlignment="1">
      <alignment wrapText="1"/>
    </xf>
    <xf numFmtId="0" fontId="89" fillId="0" borderId="63" xfId="0" applyFont="1" applyFill="1" applyBorder="1" applyAlignment="1">
      <alignment wrapText="1"/>
    </xf>
    <xf numFmtId="0" fontId="89" fillId="0" borderId="29" xfId="0" applyFont="1" applyFill="1" applyBorder="1" applyAlignment="1">
      <alignment wrapText="1"/>
    </xf>
    <xf numFmtId="0" fontId="5" fillId="0" borderId="37" xfId="0" applyFont="1" applyBorder="1"/>
    <xf numFmtId="0" fontId="5" fillId="0" borderId="51" xfId="0" applyFont="1" applyBorder="1"/>
    <xf numFmtId="2" fontId="5" fillId="0" borderId="37" xfId="0" applyNumberFormat="1" applyFont="1" applyBorder="1"/>
    <xf numFmtId="2" fontId="5" fillId="0" borderId="51" xfId="0" applyNumberFormat="1" applyFont="1" applyBorder="1"/>
    <xf numFmtId="176" fontId="5" fillId="0" borderId="37" xfId="0" applyNumberFormat="1" applyFont="1" applyBorder="1"/>
    <xf numFmtId="176" fontId="5" fillId="0" borderId="51" xfId="0" applyNumberFormat="1" applyFont="1" applyBorder="1"/>
    <xf numFmtId="0" fontId="89" fillId="0" borderId="12" xfId="0" applyFont="1" applyFill="1" applyBorder="1" applyAlignment="1">
      <alignment wrapText="1"/>
    </xf>
    <xf numFmtId="0" fontId="89" fillId="0" borderId="6" xfId="0" applyFont="1" applyBorder="1"/>
    <xf numFmtId="0" fontId="89" fillId="0" borderId="0" xfId="0" applyFont="1" applyAlignment="1">
      <alignment wrapText="1"/>
    </xf>
    <xf numFmtId="204" fontId="5" fillId="0" borderId="0" xfId="1" applyNumberFormat="1" applyFont="1"/>
    <xf numFmtId="0" fontId="89" fillId="0" borderId="5" xfId="0" applyFont="1" applyBorder="1"/>
    <xf numFmtId="0" fontId="89" fillId="0" borderId="8" xfId="0" applyFont="1" applyBorder="1"/>
    <xf numFmtId="0" fontId="89" fillId="0" borderId="7" xfId="0" applyFont="1" applyBorder="1"/>
    <xf numFmtId="176" fontId="5" fillId="0" borderId="57" xfId="0" applyNumberFormat="1" applyFont="1" applyBorder="1"/>
    <xf numFmtId="176" fontId="5" fillId="0" borderId="65" xfId="0" applyNumberFormat="1" applyFont="1" applyBorder="1"/>
    <xf numFmtId="176" fontId="5" fillId="0" borderId="66" xfId="0" applyNumberFormat="1" applyFont="1" applyBorder="1"/>
    <xf numFmtId="176" fontId="5" fillId="0" borderId="9" xfId="0" applyNumberFormat="1" applyFont="1" applyBorder="1"/>
    <xf numFmtId="176" fontId="5" fillId="0" borderId="0" xfId="0" applyNumberFormat="1" applyFont="1" applyBorder="1"/>
    <xf numFmtId="176" fontId="5" fillId="0" borderId="16" xfId="0" applyNumberFormat="1" applyFont="1" applyBorder="1"/>
    <xf numFmtId="176" fontId="5" fillId="0" borderId="67" xfId="0" applyNumberFormat="1" applyFont="1" applyBorder="1"/>
    <xf numFmtId="176" fontId="5" fillId="0" borderId="4" xfId="0" applyNumberFormat="1" applyFont="1" applyBorder="1"/>
    <xf numFmtId="176" fontId="5" fillId="0" borderId="45" xfId="0" applyNumberFormat="1" applyFont="1" applyBorder="1"/>
    <xf numFmtId="0" fontId="89" fillId="0" borderId="5" xfId="0" applyFont="1" applyBorder="1" applyAlignment="1">
      <alignment wrapText="1"/>
    </xf>
    <xf numFmtId="43" fontId="5" fillId="0" borderId="9" xfId="1" applyNumberFormat="1" applyFont="1" applyBorder="1"/>
    <xf numFmtId="43" fontId="5" fillId="0" borderId="0" xfId="1" applyNumberFormat="1" applyFont="1" applyBorder="1"/>
    <xf numFmtId="43" fontId="5" fillId="0" borderId="67" xfId="1" applyNumberFormat="1" applyFont="1" applyBorder="1"/>
    <xf numFmtId="43" fontId="5" fillId="0" borderId="4" xfId="1" applyNumberFormat="1" applyFont="1" applyBorder="1"/>
    <xf numFmtId="43" fontId="5" fillId="0" borderId="57" xfId="1" applyNumberFormat="1" applyFont="1" applyBorder="1"/>
    <xf numFmtId="43" fontId="5" fillId="0" borderId="65" xfId="1" applyNumberFormat="1" applyFont="1" applyBorder="1"/>
    <xf numFmtId="43" fontId="5" fillId="0" borderId="45" xfId="0" applyNumberFormat="1" applyFont="1" applyBorder="1"/>
    <xf numFmtId="0" fontId="5" fillId="0" borderId="7" xfId="0" applyFont="1" applyBorder="1"/>
    <xf numFmtId="43" fontId="5" fillId="0" borderId="67" xfId="0" applyNumberFormat="1" applyFont="1" applyBorder="1"/>
    <xf numFmtId="0" fontId="89" fillId="9" borderId="7" xfId="0" applyFont="1" applyFill="1" applyBorder="1" applyAlignment="1">
      <alignment wrapText="1"/>
    </xf>
    <xf numFmtId="43" fontId="5" fillId="9" borderId="66" xfId="0" applyNumberFormat="1" applyFont="1" applyFill="1" applyBorder="1"/>
    <xf numFmtId="43" fontId="5" fillId="9" borderId="16" xfId="0" applyNumberFormat="1" applyFont="1" applyFill="1" applyBorder="1"/>
    <xf numFmtId="43" fontId="5" fillId="9" borderId="45" xfId="0" applyNumberFormat="1" applyFont="1" applyFill="1" applyBorder="1"/>
    <xf numFmtId="0" fontId="89" fillId="36" borderId="5" xfId="0" applyFont="1" applyFill="1" applyBorder="1" applyAlignment="1">
      <alignment wrapText="1"/>
    </xf>
    <xf numFmtId="0" fontId="89" fillId="36" borderId="8" xfId="0" applyFont="1" applyFill="1" applyBorder="1" applyAlignment="1">
      <alignment wrapText="1"/>
    </xf>
    <xf numFmtId="0" fontId="89" fillId="36" borderId="7" xfId="0" applyFont="1" applyFill="1" applyBorder="1" applyAlignment="1">
      <alignment wrapText="1"/>
    </xf>
    <xf numFmtId="0" fontId="89" fillId="35" borderId="5" xfId="0" applyFont="1" applyFill="1" applyBorder="1" applyAlignment="1">
      <alignment wrapText="1"/>
    </xf>
    <xf numFmtId="0" fontId="89" fillId="35" borderId="8" xfId="0" applyFont="1" applyFill="1" applyBorder="1" applyAlignment="1">
      <alignment wrapText="1"/>
    </xf>
    <xf numFmtId="0" fontId="89" fillId="35" borderId="7" xfId="0" applyFont="1" applyFill="1" applyBorder="1" applyAlignment="1">
      <alignment wrapText="1"/>
    </xf>
    <xf numFmtId="207" fontId="5" fillId="0" borderId="65" xfId="1" applyNumberFormat="1" applyFont="1" applyBorder="1"/>
    <xf numFmtId="0" fontId="5" fillId="0" borderId="0" xfId="0" applyFont="1" applyFill="1"/>
    <xf numFmtId="0" fontId="0" fillId="0" borderId="8" xfId="0" applyFill="1" applyBorder="1" applyAlignment="1">
      <alignment horizontal="center"/>
    </xf>
    <xf numFmtId="0" fontId="0" fillId="0" borderId="7" xfId="0" applyFill="1" applyBorder="1" applyAlignment="1"/>
    <xf numFmtId="0" fontId="5" fillId="38" borderId="46" xfId="0" applyFont="1" applyFill="1" applyBorder="1" applyAlignment="1">
      <alignment wrapText="1"/>
    </xf>
    <xf numFmtId="0" fontId="5" fillId="38" borderId="6" xfId="0" applyFont="1" applyFill="1" applyBorder="1" applyAlignment="1">
      <alignment wrapText="1"/>
    </xf>
    <xf numFmtId="43" fontId="5" fillId="0" borderId="46" xfId="0" applyNumberFormat="1" applyFont="1" applyBorder="1"/>
    <xf numFmtId="43" fontId="5" fillId="0" borderId="37" xfId="1" applyFont="1" applyBorder="1"/>
    <xf numFmtId="43" fontId="5" fillId="0" borderId="51" xfId="1" applyFont="1" applyBorder="1"/>
    <xf numFmtId="0" fontId="3" fillId="0" borderId="3" xfId="0" applyFont="1" applyBorder="1" applyProtection="1"/>
    <xf numFmtId="0" fontId="5" fillId="0" borderId="0" xfId="3" applyFont="1" applyFill="1" applyBorder="1"/>
    <xf numFmtId="9" fontId="5" fillId="0" borderId="0" xfId="2" applyFont="1" applyFill="1" applyBorder="1"/>
    <xf numFmtId="4" fontId="5" fillId="0" borderId="0" xfId="0" applyNumberFormat="1" applyFont="1"/>
    <xf numFmtId="0" fontId="89" fillId="0" borderId="4" xfId="0" applyFont="1" applyBorder="1" applyAlignment="1"/>
    <xf numFmtId="0" fontId="0" fillId="0" borderId="4" xfId="0" applyBorder="1" applyAlignment="1"/>
    <xf numFmtId="0" fontId="89" fillId="0" borderId="6" xfId="0" applyFont="1" applyFill="1" applyBorder="1"/>
    <xf numFmtId="0" fontId="89" fillId="0" borderId="57" xfId="0" applyFont="1" applyBorder="1" applyAlignment="1">
      <alignment wrapText="1"/>
    </xf>
    <xf numFmtId="0" fontId="89" fillId="0" borderId="65" xfId="0" applyFont="1" applyBorder="1" applyAlignment="1">
      <alignment wrapText="1"/>
    </xf>
    <xf numFmtId="0" fontId="89" fillId="0" borderId="66" xfId="0" applyFont="1" applyBorder="1" applyAlignment="1">
      <alignment wrapText="1"/>
    </xf>
    <xf numFmtId="0" fontId="89" fillId="0" borderId="0" xfId="0" applyFont="1" applyBorder="1" applyAlignment="1">
      <alignment wrapText="1"/>
    </xf>
    <xf numFmtId="0" fontId="89" fillId="0" borderId="16" xfId="0" applyFont="1" applyBorder="1" applyAlignment="1">
      <alignment wrapText="1"/>
    </xf>
    <xf numFmtId="0" fontId="5" fillId="0" borderId="0" xfId="0" applyFont="1" applyAlignment="1">
      <alignment wrapText="1"/>
    </xf>
    <xf numFmtId="0" fontId="89" fillId="0" borderId="9" xfId="0" applyFont="1" applyBorder="1" applyAlignment="1">
      <alignment wrapText="1"/>
    </xf>
    <xf numFmtId="168" fontId="5" fillId="0" borderId="0" xfId="2" applyNumberFormat="1" applyFont="1"/>
    <xf numFmtId="0" fontId="89" fillId="0" borderId="0" xfId="0" applyFont="1" applyFill="1"/>
    <xf numFmtId="0" fontId="5" fillId="0" borderId="97" xfId="0" applyFont="1" applyFill="1" applyBorder="1"/>
    <xf numFmtId="0" fontId="5" fillId="0" borderId="0" xfId="0" applyFont="1" applyFill="1" applyBorder="1"/>
    <xf numFmtId="198" fontId="5" fillId="0" borderId="0" xfId="0" applyNumberFormat="1" applyFont="1" applyFill="1" applyBorder="1"/>
    <xf numFmtId="198" fontId="5" fillId="0" borderId="16" xfId="0" applyNumberFormat="1" applyFont="1" applyFill="1" applyBorder="1"/>
    <xf numFmtId="0" fontId="5" fillId="0" borderId="98" xfId="0" applyFont="1" applyFill="1" applyBorder="1"/>
    <xf numFmtId="0" fontId="5" fillId="0" borderId="67" xfId="0" applyFont="1" applyFill="1" applyBorder="1"/>
    <xf numFmtId="0" fontId="5" fillId="0" borderId="4" xfId="0" applyFont="1" applyFill="1" applyBorder="1"/>
    <xf numFmtId="198" fontId="5" fillId="0" borderId="4" xfId="0" applyNumberFormat="1" applyFont="1" applyFill="1" applyBorder="1"/>
    <xf numFmtId="198" fontId="5" fillId="0" borderId="45" xfId="0" applyNumberFormat="1" applyFont="1" applyFill="1" applyBorder="1"/>
    <xf numFmtId="0" fontId="89" fillId="0" borderId="5" xfId="0" applyFont="1" applyFill="1" applyBorder="1"/>
    <xf numFmtId="0" fontId="89" fillId="0" borderId="8" xfId="0" applyFont="1" applyFill="1" applyBorder="1"/>
    <xf numFmtId="3" fontId="6" fillId="0" borderId="8" xfId="0" applyNumberFormat="1" applyFont="1" applyFill="1" applyBorder="1" applyAlignment="1" applyProtection="1">
      <alignment horizontal="left" wrapText="1"/>
    </xf>
    <xf numFmtId="3" fontId="6" fillId="0" borderId="7" xfId="0" applyNumberFormat="1" applyFont="1" applyFill="1" applyBorder="1" applyAlignment="1" applyProtection="1">
      <alignment horizontal="left" wrapText="1"/>
    </xf>
    <xf numFmtId="169" fontId="5" fillId="0" borderId="16" xfId="0" applyNumberFormat="1" applyFont="1" applyFill="1" applyBorder="1"/>
    <xf numFmtId="169" fontId="5" fillId="0" borderId="45" xfId="0" applyNumberFormat="1" applyFont="1" applyFill="1" applyBorder="1"/>
    <xf numFmtId="0" fontId="5" fillId="0" borderId="8" xfId="0" applyFont="1" applyFill="1" applyBorder="1"/>
    <xf numFmtId="0" fontId="89" fillId="0" borderId="59" xfId="0" applyFont="1" applyFill="1" applyBorder="1" applyAlignment="1">
      <alignment wrapText="1"/>
    </xf>
    <xf numFmtId="0" fontId="5" fillId="0" borderId="97" xfId="0" applyFont="1" applyBorder="1"/>
    <xf numFmtId="0" fontId="89" fillId="0" borderId="66" xfId="0" applyFont="1" applyFill="1" applyBorder="1" applyAlignment="1">
      <alignment wrapText="1"/>
    </xf>
    <xf numFmtId="0" fontId="89" fillId="0" borderId="57" xfId="0" applyFont="1" applyFill="1" applyBorder="1" applyAlignment="1">
      <alignment wrapText="1"/>
    </xf>
    <xf numFmtId="0" fontId="89" fillId="0" borderId="65" xfId="0" applyFont="1" applyFill="1" applyBorder="1" applyAlignment="1">
      <alignment wrapText="1"/>
    </xf>
    <xf numFmtId="0" fontId="5" fillId="0" borderId="57" xfId="0" applyFont="1" applyFill="1" applyBorder="1" applyAlignment="1">
      <alignment wrapText="1"/>
    </xf>
    <xf numFmtId="0" fontId="5" fillId="0" borderId="65" xfId="0" applyFont="1" applyFill="1" applyBorder="1" applyAlignment="1">
      <alignment wrapText="1"/>
    </xf>
    <xf numFmtId="0" fontId="5" fillId="0" borderId="66" xfId="0" applyFont="1" applyFill="1" applyBorder="1" applyAlignment="1">
      <alignment wrapText="1"/>
    </xf>
    <xf numFmtId="0" fontId="5" fillId="0" borderId="82" xfId="0" applyFont="1" applyFill="1" applyBorder="1" applyAlignment="1">
      <alignment wrapText="1"/>
    </xf>
    <xf numFmtId="0" fontId="89" fillId="0" borderId="97" xfId="0" applyFont="1" applyFill="1" applyBorder="1" applyAlignment="1">
      <alignment wrapText="1"/>
    </xf>
    <xf numFmtId="0" fontId="89" fillId="0" borderId="0" xfId="0" applyFont="1" applyFill="1" applyBorder="1" applyAlignment="1">
      <alignment wrapText="1"/>
    </xf>
    <xf numFmtId="0" fontId="89" fillId="0" borderId="16" xfId="0" applyFont="1" applyFill="1" applyBorder="1" applyAlignment="1">
      <alignment wrapText="1"/>
    </xf>
    <xf numFmtId="43" fontId="5" fillId="34" borderId="0" xfId="1" applyNumberFormat="1" applyFont="1" applyFill="1"/>
    <xf numFmtId="0" fontId="5" fillId="0" borderId="0" xfId="0" applyFont="1" applyBorder="1" applyAlignment="1">
      <alignment wrapText="1"/>
    </xf>
    <xf numFmtId="0" fontId="7" fillId="0" borderId="0" xfId="0" applyNumberFormat="1" applyFont="1" applyProtection="1"/>
    <xf numFmtId="0" fontId="89" fillId="0" borderId="0" xfId="3" applyFont="1" applyFill="1" applyBorder="1" applyAlignment="1">
      <alignment horizontal="center" wrapText="1"/>
    </xf>
    <xf numFmtId="0" fontId="89" fillId="0" borderId="0" xfId="3" applyFont="1" applyFill="1" applyBorder="1"/>
    <xf numFmtId="168" fontId="5" fillId="0" borderId="0" xfId="2" applyNumberFormat="1" applyFont="1" applyFill="1" applyBorder="1"/>
    <xf numFmtId="208" fontId="5" fillId="0" borderId="0" xfId="1" applyNumberFormat="1" applyFont="1" applyFill="1" applyBorder="1"/>
    <xf numFmtId="2" fontId="96" fillId="0" borderId="0" xfId="0" applyNumberFormat="1" applyFont="1"/>
    <xf numFmtId="204" fontId="96" fillId="32" borderId="37" xfId="1" applyNumberFormat="1" applyFont="1" applyFill="1" applyBorder="1"/>
    <xf numFmtId="204" fontId="96" fillId="32" borderId="51" xfId="1" applyNumberFormat="1" applyFont="1" applyFill="1" applyBorder="1"/>
    <xf numFmtId="204" fontId="96" fillId="32" borderId="24" xfId="1" applyNumberFormat="1" applyFont="1" applyFill="1" applyBorder="1"/>
    <xf numFmtId="204" fontId="96" fillId="32" borderId="23" xfId="1" applyNumberFormat="1" applyFont="1" applyFill="1" applyBorder="1"/>
    <xf numFmtId="204" fontId="96" fillId="32" borderId="26" xfId="1" applyNumberFormat="1" applyFont="1" applyFill="1" applyBorder="1"/>
    <xf numFmtId="204" fontId="96" fillId="32" borderId="0" xfId="1" applyNumberFormat="1" applyFont="1" applyFill="1" applyBorder="1"/>
    <xf numFmtId="204" fontId="96" fillId="32" borderId="38" xfId="1" applyNumberFormat="1" applyFont="1" applyFill="1" applyBorder="1"/>
    <xf numFmtId="204" fontId="96" fillId="32" borderId="64" xfId="1" applyNumberFormat="1" applyFont="1" applyFill="1" applyBorder="1"/>
    <xf numFmtId="204" fontId="96" fillId="32" borderId="13" xfId="1" applyNumberFormat="1" applyFont="1" applyFill="1" applyBorder="1"/>
    <xf numFmtId="204" fontId="96" fillId="32" borderId="51" xfId="0" applyNumberFormat="1" applyFont="1" applyFill="1" applyBorder="1"/>
    <xf numFmtId="0" fontId="96" fillId="32" borderId="23" xfId="0" applyFont="1" applyFill="1" applyBorder="1"/>
    <xf numFmtId="0" fontId="96" fillId="32" borderId="51" xfId="0" applyFont="1" applyFill="1" applyBorder="1"/>
    <xf numFmtId="0" fontId="96" fillId="32" borderId="64" xfId="0" applyFont="1" applyFill="1" applyBorder="1"/>
    <xf numFmtId="43" fontId="96" fillId="0" borderId="0" xfId="1" applyFont="1"/>
    <xf numFmtId="205" fontId="96" fillId="0" borderId="0" xfId="0" applyNumberFormat="1" applyFont="1"/>
    <xf numFmtId="10" fontId="5" fillId="0" borderId="0" xfId="2" applyNumberFormat="1" applyFont="1"/>
    <xf numFmtId="3" fontId="6" fillId="0" borderId="5" xfId="0" applyNumberFormat="1" applyFont="1" applyBorder="1" applyAlignment="1" applyProtection="1">
      <alignment horizontal="left"/>
    </xf>
    <xf numFmtId="3" fontId="6" fillId="0" borderId="8" xfId="0" applyNumberFormat="1" applyFont="1" applyBorder="1" applyAlignment="1" applyProtection="1">
      <alignment horizontal="left"/>
    </xf>
    <xf numFmtId="3" fontId="6" fillId="0" borderId="8" xfId="0" applyNumberFormat="1" applyFont="1" applyBorder="1" applyAlignment="1" applyProtection="1">
      <alignment horizontal="left" wrapText="1"/>
    </xf>
    <xf numFmtId="0" fontId="7" fillId="0" borderId="65" xfId="0" applyFont="1" applyBorder="1" applyProtection="1"/>
    <xf numFmtId="205" fontId="5" fillId="0" borderId="65" xfId="0" applyNumberFormat="1" applyFont="1" applyBorder="1"/>
    <xf numFmtId="168" fontId="95" fillId="0" borderId="65" xfId="2" applyNumberFormat="1" applyFont="1" applyBorder="1"/>
    <xf numFmtId="169" fontId="5" fillId="0" borderId="65" xfId="2" applyNumberFormat="1" applyFont="1" applyBorder="1"/>
    <xf numFmtId="0" fontId="5" fillId="0" borderId="99" xfId="0" applyFont="1" applyBorder="1"/>
    <xf numFmtId="205" fontId="5" fillId="0" borderId="0" xfId="0" applyNumberFormat="1" applyFont="1" applyBorder="1"/>
    <xf numFmtId="168" fontId="95" fillId="0" borderId="0" xfId="2" applyNumberFormat="1" applyFont="1" applyBorder="1"/>
    <xf numFmtId="169" fontId="5" fillId="0" borderId="0" xfId="2" applyNumberFormat="1" applyFont="1" applyBorder="1"/>
    <xf numFmtId="206" fontId="95" fillId="0" borderId="0" xfId="2" applyNumberFormat="1" applyFont="1" applyBorder="1"/>
    <xf numFmtId="205" fontId="95" fillId="0" borderId="0" xfId="2" applyNumberFormat="1" applyFont="1" applyBorder="1"/>
    <xf numFmtId="0" fontId="7" fillId="0" borderId="4" xfId="0" applyFont="1" applyBorder="1" applyProtection="1"/>
    <xf numFmtId="205" fontId="5" fillId="0" borderId="4" xfId="0" applyNumberFormat="1" applyFont="1" applyBorder="1"/>
    <xf numFmtId="168" fontId="95" fillId="0" borderId="4" xfId="2" applyNumberFormat="1" applyFont="1" applyBorder="1"/>
    <xf numFmtId="169" fontId="5" fillId="0" borderId="4" xfId="2" applyNumberFormat="1" applyFont="1" applyBorder="1"/>
    <xf numFmtId="3" fontId="6" fillId="123" borderId="6" xfId="0" applyNumberFormat="1" applyFont="1" applyFill="1" applyBorder="1" applyAlignment="1" applyProtection="1">
      <alignment horizontal="left" wrapText="1"/>
    </xf>
    <xf numFmtId="205" fontId="89" fillId="123" borderId="10" xfId="0" applyNumberFormat="1" applyFont="1" applyFill="1" applyBorder="1"/>
    <xf numFmtId="205" fontId="89" fillId="123" borderId="15" xfId="0" applyNumberFormat="1" applyFont="1" applyFill="1" applyBorder="1"/>
    <xf numFmtId="205" fontId="89" fillId="123" borderId="46" xfId="0" applyNumberFormat="1" applyFont="1" applyFill="1" applyBorder="1"/>
    <xf numFmtId="0" fontId="5" fillId="0" borderId="36" xfId="0" applyFont="1" applyBorder="1"/>
    <xf numFmtId="0" fontId="89" fillId="0" borderId="6" xfId="0" applyFont="1" applyBorder="1" applyAlignment="1">
      <alignment horizontal="center" wrapText="1"/>
    </xf>
    <xf numFmtId="0" fontId="194" fillId="0" borderId="100" xfId="0" applyFont="1" applyBorder="1"/>
    <xf numFmtId="0" fontId="194" fillId="0" borderId="100" xfId="0" applyFont="1" applyFill="1" applyBorder="1"/>
    <xf numFmtId="0" fontId="5" fillId="0" borderId="100" xfId="0" applyFont="1" applyFill="1" applyBorder="1"/>
    <xf numFmtId="0" fontId="6" fillId="0" borderId="0" xfId="714" applyFont="1"/>
    <xf numFmtId="0" fontId="44" fillId="0" borderId="0" xfId="714" applyFont="1" applyBorder="1"/>
    <xf numFmtId="0" fontId="44" fillId="0" borderId="0" xfId="714" applyFont="1"/>
    <xf numFmtId="0" fontId="195" fillId="31" borderId="20" xfId="714" applyFont="1" applyFill="1" applyBorder="1"/>
    <xf numFmtId="0" fontId="196" fillId="31" borderId="12" xfId="714" applyFont="1" applyFill="1" applyBorder="1"/>
    <xf numFmtId="0" fontId="195" fillId="31" borderId="12" xfId="714" applyFont="1" applyFill="1" applyBorder="1"/>
    <xf numFmtId="0" fontId="196" fillId="31" borderId="21" xfId="714" applyFont="1" applyFill="1" applyBorder="1"/>
    <xf numFmtId="0" fontId="44" fillId="31" borderId="24" xfId="714" applyFont="1" applyFill="1" applyBorder="1"/>
    <xf numFmtId="0" fontId="196" fillId="31" borderId="25" xfId="714" applyFont="1" applyFill="1" applyBorder="1"/>
    <xf numFmtId="0" fontId="195" fillId="31" borderId="26" xfId="714" applyFont="1" applyFill="1" applyBorder="1"/>
    <xf numFmtId="0" fontId="195" fillId="31" borderId="27" xfId="714" applyFont="1" applyFill="1" applyBorder="1"/>
    <xf numFmtId="0" fontId="6" fillId="0" borderId="30" xfId="714" applyFont="1" applyBorder="1"/>
    <xf numFmtId="0" fontId="6" fillId="0" borderId="31" xfId="714" applyFont="1" applyFill="1" applyBorder="1"/>
    <xf numFmtId="0" fontId="6" fillId="0" borderId="32" xfId="714" applyFont="1" applyBorder="1"/>
    <xf numFmtId="0" fontId="6" fillId="0" borderId="33" xfId="714" applyFont="1" applyBorder="1"/>
    <xf numFmtId="0" fontId="6" fillId="0" borderId="33" xfId="714" applyFont="1" applyFill="1" applyBorder="1"/>
    <xf numFmtId="0" fontId="6" fillId="0" borderId="30" xfId="714" applyFont="1" applyFill="1" applyBorder="1"/>
    <xf numFmtId="0" fontId="6" fillId="0" borderId="34" xfId="714" applyFont="1" applyFill="1" applyBorder="1"/>
    <xf numFmtId="0" fontId="44" fillId="0" borderId="35" xfId="714" applyFont="1" applyBorder="1"/>
    <xf numFmtId="0" fontId="44" fillId="0" borderId="16" xfId="714" applyFont="1" applyFill="1" applyBorder="1"/>
    <xf numFmtId="2" fontId="44" fillId="0" borderId="0" xfId="714" applyNumberFormat="1" applyFont="1" applyBorder="1"/>
    <xf numFmtId="0" fontId="44" fillId="0" borderId="10" xfId="714" applyFont="1" applyBorder="1"/>
    <xf numFmtId="0" fontId="44" fillId="0" borderId="0" xfId="714" applyFont="1" applyFill="1" applyBorder="1"/>
    <xf numFmtId="2" fontId="6" fillId="0" borderId="10" xfId="714" applyNumberFormat="1" applyFont="1" applyFill="1" applyBorder="1"/>
    <xf numFmtId="2" fontId="6" fillId="0" borderId="35" xfId="714" applyNumberFormat="1" applyFont="1" applyFill="1" applyBorder="1"/>
    <xf numFmtId="0" fontId="44" fillId="0" borderId="37" xfId="714" applyFont="1" applyFill="1" applyBorder="1"/>
    <xf numFmtId="0" fontId="44" fillId="0" borderId="15" xfId="714" applyFont="1" applyFill="1" applyBorder="1"/>
    <xf numFmtId="2" fontId="44" fillId="0" borderId="0" xfId="714" applyNumberFormat="1" applyFont="1" applyFill="1" applyBorder="1"/>
    <xf numFmtId="2" fontId="6" fillId="0" borderId="9" xfId="714" applyNumberFormat="1" applyFont="1" applyFill="1" applyBorder="1"/>
    <xf numFmtId="0" fontId="44" fillId="0" borderId="15" xfId="714" applyFont="1" applyBorder="1"/>
    <xf numFmtId="2" fontId="6" fillId="0" borderId="15" xfId="714" applyNumberFormat="1" applyFont="1" applyFill="1" applyBorder="1"/>
    <xf numFmtId="0" fontId="44" fillId="0" borderId="0" xfId="714" applyFont="1" applyFill="1"/>
    <xf numFmtId="0" fontId="44" fillId="0" borderId="35" xfId="714" applyFont="1" applyFill="1" applyBorder="1"/>
    <xf numFmtId="0" fontId="44" fillId="0" borderId="16" xfId="714" applyFont="1" applyFill="1" applyBorder="1" applyAlignment="1"/>
    <xf numFmtId="0" fontId="44" fillId="0" borderId="16" xfId="714" applyFont="1" applyFill="1" applyBorder="1" applyAlignment="1">
      <alignment wrapText="1"/>
    </xf>
    <xf numFmtId="0" fontId="44" fillId="0" borderId="0" xfId="714" applyFont="1" applyFill="1" applyBorder="1" applyAlignment="1"/>
    <xf numFmtId="0" fontId="44" fillId="0" borderId="16" xfId="714" applyFont="1" applyBorder="1"/>
    <xf numFmtId="171" fontId="44" fillId="0" borderId="15" xfId="536" applyFont="1" applyFill="1" applyBorder="1"/>
    <xf numFmtId="171" fontId="44" fillId="0" borderId="16" xfId="536" applyFont="1" applyBorder="1"/>
    <xf numFmtId="171" fontId="44" fillId="0" borderId="16" xfId="536" applyFont="1" applyFill="1" applyBorder="1"/>
    <xf numFmtId="2" fontId="6" fillId="0" borderId="15" xfId="714" applyNumberFormat="1" applyFont="1" applyFill="1" applyBorder="1" applyAlignment="1">
      <alignment horizontal="right"/>
    </xf>
    <xf numFmtId="171" fontId="44" fillId="0" borderId="16" xfId="536" applyFont="1" applyFill="1" applyBorder="1" applyAlignment="1">
      <alignment horizontal="left"/>
    </xf>
    <xf numFmtId="171" fontId="44" fillId="0" borderId="0" xfId="536" applyFont="1" applyFill="1" applyBorder="1" applyAlignment="1">
      <alignment horizontal="left"/>
    </xf>
    <xf numFmtId="0" fontId="44" fillId="0" borderId="38" xfId="714" applyFont="1" applyFill="1" applyBorder="1"/>
    <xf numFmtId="0" fontId="44" fillId="0" borderId="39" xfId="714" applyFont="1" applyFill="1" applyBorder="1"/>
    <xf numFmtId="0" fontId="44" fillId="0" borderId="13" xfId="714" applyFont="1" applyFill="1" applyBorder="1"/>
    <xf numFmtId="2" fontId="6" fillId="0" borderId="40" xfId="714" applyNumberFormat="1" applyFont="1" applyFill="1" applyBorder="1"/>
    <xf numFmtId="2" fontId="6" fillId="0" borderId="41" xfId="714" applyNumberFormat="1" applyFont="1" applyFill="1" applyBorder="1"/>
    <xf numFmtId="0" fontId="198" fillId="0" borderId="0" xfId="714" applyFont="1" applyBorder="1"/>
    <xf numFmtId="0" fontId="198" fillId="0" borderId="0" xfId="714" applyFont="1" applyFill="1" applyBorder="1"/>
    <xf numFmtId="0" fontId="44" fillId="0" borderId="0" xfId="714" applyFont="1" applyBorder="1" applyAlignment="1">
      <alignment wrapText="1"/>
    </xf>
    <xf numFmtId="0" fontId="44" fillId="31" borderId="25" xfId="714" applyFont="1" applyFill="1" applyBorder="1"/>
    <xf numFmtId="0" fontId="196" fillId="31" borderId="43" xfId="714" applyFont="1" applyFill="1" applyBorder="1"/>
    <xf numFmtId="0" fontId="195" fillId="31" borderId="43" xfId="714" applyFont="1" applyFill="1" applyBorder="1"/>
    <xf numFmtId="0" fontId="195" fillId="31" borderId="23" xfId="714" applyFont="1" applyFill="1" applyBorder="1"/>
    <xf numFmtId="0" fontId="6" fillId="0" borderId="44" xfId="714" applyFont="1" applyBorder="1"/>
    <xf numFmtId="0" fontId="6" fillId="0" borderId="45" xfId="714" applyFont="1" applyFill="1" applyBorder="1"/>
    <xf numFmtId="0" fontId="6" fillId="0" borderId="46" xfId="714" applyFont="1" applyFill="1" applyBorder="1"/>
    <xf numFmtId="0" fontId="6" fillId="0" borderId="4" xfId="714" applyFont="1" applyFill="1" applyBorder="1"/>
    <xf numFmtId="0" fontId="6" fillId="0" borderId="47" xfId="714" applyFont="1" applyFill="1" applyBorder="1"/>
    <xf numFmtId="0" fontId="125" fillId="0" borderId="16" xfId="714" applyFont="1" applyFill="1" applyBorder="1" applyAlignment="1">
      <alignment wrapText="1"/>
    </xf>
    <xf numFmtId="0" fontId="6" fillId="0" borderId="15" xfId="714" applyFont="1" applyFill="1" applyBorder="1"/>
    <xf numFmtId="2" fontId="6" fillId="0" borderId="48" xfId="714" applyNumberFormat="1" applyFont="1" applyFill="1" applyBorder="1"/>
    <xf numFmtId="0" fontId="6" fillId="0" borderId="0" xfId="714" applyFont="1" applyFill="1" applyBorder="1"/>
    <xf numFmtId="0" fontId="44" fillId="0" borderId="49" xfId="714" applyFont="1" applyBorder="1"/>
    <xf numFmtId="0" fontId="44" fillId="0" borderId="8" xfId="714" applyFont="1" applyFill="1" applyBorder="1"/>
    <xf numFmtId="2" fontId="4" fillId="0" borderId="6" xfId="714" applyNumberFormat="1" applyFont="1" applyFill="1" applyBorder="1"/>
    <xf numFmtId="2" fontId="4" fillId="0" borderId="5" xfId="714" applyNumberFormat="1" applyFont="1" applyFill="1" applyBorder="1"/>
    <xf numFmtId="0" fontId="44" fillId="32" borderId="0" xfId="714" applyFont="1" applyFill="1"/>
    <xf numFmtId="0" fontId="44" fillId="0" borderId="41" xfId="714" applyFont="1" applyBorder="1"/>
    <xf numFmtId="0" fontId="44" fillId="0" borderId="52" xfId="714" applyFont="1" applyFill="1" applyBorder="1"/>
    <xf numFmtId="2" fontId="6" fillId="0" borderId="39" xfId="714" applyNumberFormat="1" applyFont="1" applyFill="1" applyBorder="1"/>
    <xf numFmtId="0" fontId="6" fillId="0" borderId="13" xfId="714" applyFont="1" applyFill="1" applyBorder="1"/>
    <xf numFmtId="2" fontId="6" fillId="0" borderId="53" xfId="714" applyNumberFormat="1" applyFont="1" applyFill="1" applyBorder="1"/>
    <xf numFmtId="0" fontId="44" fillId="0" borderId="13" xfId="714" applyFont="1" applyBorder="1"/>
    <xf numFmtId="0" fontId="196" fillId="31" borderId="27" xfId="714" applyFont="1" applyFill="1" applyBorder="1"/>
    <xf numFmtId="0" fontId="6" fillId="0" borderId="44" xfId="714" applyFont="1" applyFill="1" applyBorder="1"/>
    <xf numFmtId="0" fontId="6" fillId="0" borderId="16" xfId="714" applyFont="1" applyFill="1" applyBorder="1"/>
    <xf numFmtId="2" fontId="6" fillId="0" borderId="16" xfId="714" applyNumberFormat="1" applyFont="1" applyFill="1" applyBorder="1"/>
    <xf numFmtId="0" fontId="6" fillId="0" borderId="52" xfId="714" applyFont="1" applyFill="1" applyBorder="1"/>
    <xf numFmtId="0" fontId="6" fillId="0" borderId="55" xfId="714" applyFont="1" applyFill="1" applyBorder="1"/>
    <xf numFmtId="0" fontId="6" fillId="0" borderId="56" xfId="714" applyFont="1" applyFill="1" applyBorder="1"/>
    <xf numFmtId="0" fontId="44" fillId="0" borderId="37" xfId="714" applyFont="1" applyBorder="1"/>
    <xf numFmtId="0" fontId="44" fillId="0" borderId="10" xfId="714" applyFont="1" applyFill="1" applyBorder="1"/>
    <xf numFmtId="0" fontId="44" fillId="0" borderId="57" xfId="714" applyFont="1" applyFill="1" applyBorder="1"/>
    <xf numFmtId="0" fontId="44" fillId="0" borderId="9" xfId="714" applyFont="1" applyFill="1" applyBorder="1"/>
    <xf numFmtId="0" fontId="44" fillId="0" borderId="38" xfId="714" applyFont="1" applyBorder="1"/>
    <xf numFmtId="0" fontId="195" fillId="31" borderId="25" xfId="714" applyFont="1" applyFill="1" applyBorder="1"/>
    <xf numFmtId="0" fontId="44" fillId="31" borderId="23" xfId="714" applyFont="1" applyFill="1" applyBorder="1" applyAlignment="1"/>
    <xf numFmtId="2" fontId="6" fillId="0" borderId="0" xfId="714" applyNumberFormat="1" applyFont="1" applyFill="1" applyBorder="1"/>
    <xf numFmtId="2" fontId="6" fillId="0" borderId="61" xfId="714" applyNumberFormat="1" applyFont="1" applyFill="1" applyBorder="1"/>
    <xf numFmtId="0" fontId="44" fillId="0" borderId="49" xfId="714" applyFont="1" applyFill="1" applyBorder="1"/>
    <xf numFmtId="0" fontId="6" fillId="0" borderId="8" xfId="714" applyFont="1" applyFill="1" applyBorder="1"/>
    <xf numFmtId="0" fontId="6" fillId="0" borderId="50" xfId="714" applyFont="1" applyFill="1" applyBorder="1"/>
    <xf numFmtId="2" fontId="6" fillId="0" borderId="8" xfId="714" applyNumberFormat="1" applyFont="1" applyFill="1" applyBorder="1"/>
    <xf numFmtId="2" fontId="6" fillId="0" borderId="50" xfId="714" applyNumberFormat="1" applyFont="1" applyFill="1" applyBorder="1"/>
    <xf numFmtId="0" fontId="44" fillId="0" borderId="62" xfId="714" applyFont="1" applyFill="1" applyBorder="1"/>
    <xf numFmtId="0" fontId="44" fillId="0" borderId="6" xfId="714" applyFont="1" applyFill="1" applyBorder="1"/>
    <xf numFmtId="0" fontId="44" fillId="0" borderId="7" xfId="714" applyFont="1" applyFill="1" applyBorder="1"/>
    <xf numFmtId="0" fontId="44" fillId="0" borderId="41" xfId="714" applyFont="1" applyFill="1" applyBorder="1"/>
    <xf numFmtId="2" fontId="6" fillId="0" borderId="13" xfId="714" applyNumberFormat="1" applyFont="1" applyFill="1" applyBorder="1"/>
    <xf numFmtId="0" fontId="195" fillId="31" borderId="18" xfId="714" applyFont="1" applyFill="1" applyBorder="1"/>
    <xf numFmtId="0" fontId="195" fillId="31" borderId="21" xfId="714" applyFont="1" applyFill="1" applyBorder="1"/>
    <xf numFmtId="0" fontId="44" fillId="31" borderId="29" xfId="714" applyFont="1" applyFill="1" applyBorder="1" applyAlignment="1"/>
    <xf numFmtId="0" fontId="44" fillId="0" borderId="26" xfId="714" applyFont="1" applyFill="1" applyBorder="1"/>
    <xf numFmtId="0" fontId="6" fillId="0" borderId="62" xfId="714" applyFont="1" applyFill="1" applyBorder="1"/>
    <xf numFmtId="0" fontId="44" fillId="0" borderId="58" xfId="714" applyFont="1" applyFill="1" applyBorder="1"/>
    <xf numFmtId="0" fontId="44" fillId="31" borderId="23" xfId="714" applyFont="1" applyFill="1" applyBorder="1" applyAlignment="1">
      <alignment horizontal="left" wrapText="1"/>
    </xf>
    <xf numFmtId="0" fontId="6" fillId="0" borderId="32" xfId="714" applyFont="1" applyFill="1" applyBorder="1"/>
    <xf numFmtId="0" fontId="44" fillId="0" borderId="40" xfId="714" applyFont="1" applyFill="1" applyBorder="1"/>
    <xf numFmtId="0" fontId="5" fillId="32" borderId="82" xfId="0" applyFont="1" applyFill="1" applyBorder="1"/>
    <xf numFmtId="2" fontId="5" fillId="0" borderId="100" xfId="0" applyNumberFormat="1" applyFont="1" applyBorder="1"/>
    <xf numFmtId="0" fontId="5" fillId="0" borderId="82" xfId="0" applyFont="1" applyBorder="1"/>
    <xf numFmtId="43" fontId="5" fillId="0" borderId="100" xfId="0" applyNumberFormat="1" applyFont="1" applyBorder="1"/>
    <xf numFmtId="0" fontId="89" fillId="32" borderId="0" xfId="0" applyFont="1" applyFill="1"/>
    <xf numFmtId="14" fontId="5" fillId="32" borderId="0" xfId="0" applyNumberFormat="1" applyFont="1" applyFill="1"/>
    <xf numFmtId="0" fontId="0" fillId="0" borderId="0" xfId="0"/>
    <xf numFmtId="0" fontId="207" fillId="0" borderId="0" xfId="0" applyFont="1"/>
    <xf numFmtId="43" fontId="253" fillId="0" borderId="0" xfId="1" applyNumberFormat="1" applyFont="1"/>
    <xf numFmtId="2" fontId="44" fillId="0" borderId="0" xfId="714" applyNumberFormat="1" applyFont="1"/>
    <xf numFmtId="0" fontId="5" fillId="0" borderId="65" xfId="0" applyFont="1" applyFill="1" applyBorder="1"/>
    <xf numFmtId="168" fontId="6" fillId="0" borderId="29" xfId="714" applyNumberFormat="1" applyFont="1" applyFill="1" applyBorder="1"/>
    <xf numFmtId="0" fontId="44" fillId="0" borderId="22" xfId="714" applyFont="1" applyFill="1" applyBorder="1" applyAlignment="1"/>
    <xf numFmtId="168" fontId="6" fillId="0" borderId="23" xfId="714" applyNumberFormat="1" applyFont="1" applyFill="1" applyBorder="1"/>
    <xf numFmtId="0" fontId="44" fillId="0" borderId="59" xfId="714" applyFont="1" applyFill="1" applyBorder="1" applyAlignment="1"/>
    <xf numFmtId="168" fontId="6" fillId="0" borderId="60" xfId="714" applyNumberFormat="1" applyFont="1" applyFill="1" applyBorder="1"/>
    <xf numFmtId="0" fontId="97" fillId="0" borderId="0" xfId="0" applyFont="1"/>
    <xf numFmtId="168" fontId="255" fillId="13" borderId="0" xfId="682" applyNumberFormat="1" applyFont="1" applyFill="1" applyBorder="1"/>
    <xf numFmtId="0" fontId="2" fillId="0" borderId="6" xfId="10" applyFont="1" applyBorder="1"/>
    <xf numFmtId="170" fontId="9" fillId="0" borderId="6" xfId="755" applyFont="1" applyFill="1" applyBorder="1"/>
    <xf numFmtId="170" fontId="9" fillId="12" borderId="6" xfId="755" applyFont="1" applyFill="1" applyBorder="1"/>
    <xf numFmtId="168" fontId="148" fillId="13" borderId="0" xfId="682" applyNumberFormat="1" applyFont="1" applyFill="1" applyBorder="1"/>
    <xf numFmtId="0" fontId="9" fillId="0" borderId="0" xfId="10"/>
    <xf numFmtId="0" fontId="9" fillId="0" borderId="6" xfId="10" applyFont="1" applyBorder="1"/>
    <xf numFmtId="0" fontId="5" fillId="0" borderId="6" xfId="0" applyFont="1" applyBorder="1"/>
    <xf numFmtId="0" fontId="5" fillId="35" borderId="114" xfId="0" applyFont="1" applyFill="1" applyBorder="1"/>
    <xf numFmtId="0" fontId="9" fillId="0" borderId="6" xfId="10" applyFont="1" applyFill="1" applyBorder="1"/>
    <xf numFmtId="0" fontId="9" fillId="0" borderId="0" xfId="10" applyFont="1" applyFill="1" applyBorder="1"/>
    <xf numFmtId="170" fontId="9" fillId="0" borderId="0" xfId="755" applyFont="1" applyFill="1" applyBorder="1"/>
    <xf numFmtId="0" fontId="9" fillId="0" borderId="0" xfId="10" applyFont="1" applyBorder="1"/>
    <xf numFmtId="0" fontId="2" fillId="0" borderId="0" xfId="10" applyFont="1"/>
    <xf numFmtId="0" fontId="9" fillId="0" borderId="6" xfId="10" applyBorder="1"/>
    <xf numFmtId="0" fontId="2" fillId="0" borderId="0" xfId="10" applyFont="1" applyAlignment="1"/>
    <xf numFmtId="170" fontId="9" fillId="12" borderId="6" xfId="755" applyNumberFormat="1" applyFont="1" applyFill="1" applyBorder="1"/>
    <xf numFmtId="0" fontId="9" fillId="0" borderId="0" xfId="10" applyFont="1"/>
    <xf numFmtId="0" fontId="9" fillId="0" borderId="0" xfId="10" applyBorder="1"/>
    <xf numFmtId="0" fontId="9" fillId="0" borderId="0" xfId="10" quotePrefix="1" applyFont="1"/>
    <xf numFmtId="170" fontId="9" fillId="0" borderId="0" xfId="755" applyNumberFormat="1" applyFont="1" applyFill="1" applyBorder="1"/>
    <xf numFmtId="0" fontId="9" fillId="13" borderId="0" xfId="10" applyFont="1" applyFill="1" applyBorder="1"/>
    <xf numFmtId="170" fontId="9" fillId="13" borderId="0" xfId="755" applyFont="1" applyFill="1" applyBorder="1"/>
    <xf numFmtId="0" fontId="9" fillId="0" borderId="0" xfId="4" applyFont="1" applyFill="1"/>
    <xf numFmtId="313" fontId="5" fillId="0" borderId="0" xfId="0" applyNumberFormat="1" applyFont="1"/>
    <xf numFmtId="313" fontId="89" fillId="0" borderId="0" xfId="0" applyNumberFormat="1" applyFont="1"/>
    <xf numFmtId="0" fontId="6" fillId="0" borderId="0" xfId="4" applyFont="1" applyFill="1"/>
    <xf numFmtId="0" fontId="44" fillId="0" borderId="0" xfId="4" applyFont="1" applyFill="1"/>
    <xf numFmtId="0" fontId="44" fillId="0" borderId="0" xfId="4" applyFont="1" applyFill="1" applyBorder="1" applyAlignment="1">
      <alignment horizontal="left"/>
    </xf>
    <xf numFmtId="0" fontId="44" fillId="0" borderId="0" xfId="4" applyFont="1" applyFill="1" applyBorder="1"/>
    <xf numFmtId="0" fontId="89" fillId="32" borderId="8" xfId="0" applyFont="1" applyFill="1" applyBorder="1" applyAlignment="1">
      <alignment wrapText="1"/>
    </xf>
    <xf numFmtId="0" fontId="89" fillId="32" borderId="7" xfId="0" applyFont="1" applyFill="1" applyBorder="1" applyAlignment="1">
      <alignment wrapText="1"/>
    </xf>
    <xf numFmtId="0" fontId="5" fillId="32" borderId="9" xfId="0" applyFont="1" applyFill="1" applyBorder="1"/>
    <xf numFmtId="0" fontId="5" fillId="32" borderId="16" xfId="0" applyFont="1" applyFill="1" applyBorder="1"/>
    <xf numFmtId="2" fontId="5" fillId="32" borderId="0" xfId="0" applyNumberFormat="1" applyFont="1" applyFill="1" applyBorder="1"/>
    <xf numFmtId="0" fontId="253" fillId="0" borderId="0" xfId="0" applyFont="1"/>
    <xf numFmtId="0" fontId="246" fillId="146" borderId="59" xfId="0" applyFont="1" applyFill="1" applyBorder="1" applyAlignment="1">
      <alignment horizontal="center" vertical="center" wrapText="1"/>
    </xf>
    <xf numFmtId="0" fontId="0" fillId="122" borderId="0" xfId="0" applyFill="1"/>
    <xf numFmtId="0" fontId="260" fillId="146" borderId="59" xfId="0" applyFont="1" applyFill="1" applyBorder="1" applyAlignment="1">
      <alignment horizontal="center" vertical="center" wrapText="1"/>
    </xf>
    <xf numFmtId="0" fontId="260" fillId="146" borderId="22" xfId="0" applyFont="1" applyFill="1" applyBorder="1" applyAlignment="1">
      <alignment vertical="center" wrapText="1"/>
    </xf>
    <xf numFmtId="0" fontId="260" fillId="146" borderId="23" xfId="0" applyFont="1" applyFill="1" applyBorder="1" applyAlignment="1">
      <alignment horizontal="center" vertical="center" wrapText="1"/>
    </xf>
    <xf numFmtId="0" fontId="261" fillId="0" borderId="0" xfId="0" applyFont="1" applyAlignment="1">
      <alignment horizontal="center" vertical="center" readingOrder="1"/>
    </xf>
    <xf numFmtId="0" fontId="260" fillId="146" borderId="63" xfId="0" applyFont="1" applyFill="1" applyBorder="1" applyAlignment="1">
      <alignment horizontal="center" vertical="center" wrapText="1"/>
    </xf>
    <xf numFmtId="0" fontId="261" fillId="0" borderId="63" xfId="0" applyFont="1" applyBorder="1" applyAlignment="1">
      <alignment horizontal="center" vertical="center" readingOrder="1"/>
    </xf>
    <xf numFmtId="0" fontId="263" fillId="0" borderId="0" xfId="7310"/>
    <xf numFmtId="0" fontId="9" fillId="0" borderId="0" xfId="7310" applyFont="1" applyFill="1"/>
    <xf numFmtId="49" fontId="9" fillId="0" borderId="0" xfId="7310" applyNumberFormat="1" applyFont="1" applyFill="1"/>
    <xf numFmtId="0" fontId="2" fillId="0" borderId="0" xfId="7310" applyFont="1" applyFill="1"/>
    <xf numFmtId="0" fontId="9" fillId="0" borderId="4" xfId="7310" applyFont="1" applyFill="1" applyBorder="1"/>
    <xf numFmtId="49" fontId="9" fillId="0" borderId="4" xfId="7310" applyNumberFormat="1" applyFont="1" applyFill="1" applyBorder="1"/>
    <xf numFmtId="49" fontId="2" fillId="0" borderId="114" xfId="7310" applyNumberFormat="1" applyFont="1" applyFill="1" applyBorder="1"/>
    <xf numFmtId="0" fontId="2" fillId="0" borderId="114" xfId="7310" applyFont="1" applyFill="1" applyBorder="1"/>
    <xf numFmtId="0" fontId="9" fillId="0" borderId="114" xfId="7310" applyFont="1" applyFill="1" applyBorder="1"/>
    <xf numFmtId="49" fontId="2" fillId="0" borderId="0" xfId="7310" applyNumberFormat="1" applyFont="1" applyFill="1" applyBorder="1"/>
    <xf numFmtId="0" fontId="2" fillId="0" borderId="0" xfId="7310" applyFont="1" applyFill="1" applyBorder="1"/>
    <xf numFmtId="0" fontId="9" fillId="0" borderId="0" xfId="7310" applyFont="1" applyFill="1" applyBorder="1"/>
    <xf numFmtId="0" fontId="2" fillId="0" borderId="0" xfId="7310" applyFont="1" applyFill="1" applyBorder="1" applyAlignment="1">
      <alignment horizontal="center"/>
    </xf>
    <xf numFmtId="0" fontId="9" fillId="0" borderId="5" xfId="7310" applyFont="1" applyFill="1" applyBorder="1"/>
    <xf numFmtId="1" fontId="12" fillId="12" borderId="6" xfId="9" applyNumberFormat="1" applyFont="1" applyFill="1" applyBorder="1" applyAlignment="1">
      <alignment horizontal="right" vertical="top"/>
    </xf>
    <xf numFmtId="1" fontId="12" fillId="0" borderId="0" xfId="9" applyNumberFormat="1" applyFont="1" applyFill="1" applyBorder="1" applyAlignment="1">
      <alignment horizontal="right" vertical="top"/>
    </xf>
    <xf numFmtId="0" fontId="9" fillId="0" borderId="0" xfId="7310" applyFont="1" applyFill="1" applyBorder="1" applyAlignment="1">
      <alignment horizontal="left"/>
    </xf>
    <xf numFmtId="170" fontId="9" fillId="0" borderId="0" xfId="7311" applyNumberFormat="1" applyFont="1" applyFill="1" applyBorder="1" applyAlignment="1"/>
    <xf numFmtId="170" fontId="9" fillId="0" borderId="0" xfId="7310" applyNumberFormat="1" applyFont="1" applyFill="1" applyBorder="1"/>
    <xf numFmtId="170" fontId="9" fillId="0" borderId="0" xfId="7310" applyNumberFormat="1" applyFont="1" applyFill="1" applyBorder="1" applyAlignment="1">
      <alignment horizontal="left"/>
    </xf>
    <xf numFmtId="170" fontId="2" fillId="0" borderId="0" xfId="7311" applyNumberFormat="1" applyFont="1" applyFill="1" applyBorder="1" applyAlignment="1"/>
    <xf numFmtId="0" fontId="2" fillId="0" borderId="0" xfId="7310" applyFont="1" applyFill="1" applyBorder="1" applyAlignment="1">
      <alignment horizontal="left"/>
    </xf>
    <xf numFmtId="1" fontId="12" fillId="0" borderId="0" xfId="9" applyNumberFormat="1" applyFont="1" applyFill="1" applyBorder="1" applyAlignment="1">
      <alignment horizontal="center" vertical="top"/>
    </xf>
    <xf numFmtId="1" fontId="12" fillId="0" borderId="6" xfId="9" applyNumberFormat="1" applyFont="1" applyFill="1" applyBorder="1" applyAlignment="1">
      <alignment horizontal="center" vertical="top"/>
    </xf>
    <xf numFmtId="170" fontId="9" fillId="0" borderId="6" xfId="7311" applyNumberFormat="1" applyFont="1" applyFill="1" applyBorder="1" applyAlignment="1"/>
    <xf numFmtId="0" fontId="9" fillId="0" borderId="0" xfId="7310" quotePrefix="1" applyFont="1" applyFill="1" applyBorder="1" applyAlignment="1">
      <alignment horizontal="left"/>
    </xf>
    <xf numFmtId="171" fontId="12" fillId="0" borderId="6" xfId="533" applyFont="1" applyFill="1" applyBorder="1" applyAlignment="1">
      <alignment horizontal="center" vertical="top"/>
    </xf>
    <xf numFmtId="0" fontId="264" fillId="0" borderId="6" xfId="7310" applyFont="1" applyBorder="1"/>
    <xf numFmtId="0" fontId="113" fillId="0" borderId="0" xfId="7310" applyFont="1" applyFill="1"/>
    <xf numFmtId="49" fontId="113" fillId="0" borderId="0" xfId="7310" applyNumberFormat="1" applyFont="1" applyFill="1"/>
    <xf numFmtId="0" fontId="186" fillId="0" borderId="0" xfId="7310" applyFont="1" applyFill="1"/>
    <xf numFmtId="0" fontId="113" fillId="0" borderId="4" xfId="7310" applyFont="1" applyFill="1" applyBorder="1"/>
    <xf numFmtId="49" fontId="113" fillId="0" borderId="4" xfId="7310" applyNumberFormat="1" applyFont="1" applyFill="1" applyBorder="1"/>
    <xf numFmtId="49" fontId="186" fillId="0" borderId="114" xfId="7310" applyNumberFormat="1" applyFont="1" applyFill="1" applyBorder="1"/>
    <xf numFmtId="0" fontId="186" fillId="0" borderId="114" xfId="7310" applyFont="1" applyFill="1" applyBorder="1"/>
    <xf numFmtId="0" fontId="113" fillId="0" borderId="114" xfId="7310" applyFont="1" applyFill="1" applyBorder="1"/>
    <xf numFmtId="49" fontId="186" fillId="0" borderId="0" xfId="7310" applyNumberFormat="1" applyFont="1" applyFill="1" applyBorder="1"/>
    <xf numFmtId="0" fontId="186" fillId="0" borderId="0" xfId="7310" applyFont="1" applyFill="1" applyBorder="1"/>
    <xf numFmtId="0" fontId="113" fillId="0" borderId="0" xfId="7310" applyFont="1" applyFill="1" applyBorder="1"/>
    <xf numFmtId="0" fontId="186" fillId="0" borderId="5" xfId="7310" applyFont="1" applyFill="1" applyBorder="1"/>
    <xf numFmtId="0" fontId="113" fillId="0" borderId="7" xfId="7310" applyFont="1" applyFill="1" applyBorder="1"/>
    <xf numFmtId="0" fontId="113" fillId="0" borderId="119" xfId="7310" applyFont="1" applyBorder="1"/>
    <xf numFmtId="171" fontId="113" fillId="12" borderId="6" xfId="533" applyFont="1" applyFill="1" applyBorder="1" applyAlignment="1">
      <alignment horizontal="right" vertical="top"/>
    </xf>
    <xf numFmtId="0" fontId="113" fillId="0" borderId="66" xfId="7310" applyFont="1" applyBorder="1"/>
    <xf numFmtId="0" fontId="113" fillId="0" borderId="0" xfId="7310" applyFont="1"/>
    <xf numFmtId="0" fontId="113" fillId="0" borderId="100" xfId="7310" applyFont="1" applyBorder="1"/>
    <xf numFmtId="0" fontId="113" fillId="0" borderId="16" xfId="7310" applyFont="1" applyBorder="1"/>
    <xf numFmtId="0" fontId="113" fillId="0" borderId="67" xfId="7310" applyFont="1" applyBorder="1"/>
    <xf numFmtId="0" fontId="113" fillId="0" borderId="45" xfId="7310" applyFont="1" applyBorder="1"/>
    <xf numFmtId="0" fontId="186" fillId="0" borderId="5" xfId="7310" applyFont="1" applyBorder="1"/>
    <xf numFmtId="0" fontId="113" fillId="0" borderId="114" xfId="7310" applyFont="1" applyBorder="1"/>
    <xf numFmtId="0" fontId="113" fillId="0" borderId="7" xfId="7310" applyFont="1" applyBorder="1"/>
    <xf numFmtId="316" fontId="113" fillId="0" borderId="6" xfId="533" applyNumberFormat="1" applyFont="1" applyFill="1" applyBorder="1" applyAlignment="1">
      <alignment horizontal="right" vertical="top"/>
    </xf>
    <xf numFmtId="0" fontId="10" fillId="0" borderId="0" xfId="7310" applyFont="1" applyFill="1"/>
    <xf numFmtId="0" fontId="113" fillId="0" borderId="6" xfId="7310" applyFont="1" applyFill="1" applyBorder="1"/>
    <xf numFmtId="169" fontId="113" fillId="0" borderId="6" xfId="7310" applyNumberFormat="1" applyFont="1" applyFill="1" applyBorder="1"/>
    <xf numFmtId="43" fontId="113" fillId="0" borderId="6" xfId="7310" applyNumberFormat="1" applyFont="1" applyFill="1" applyBorder="1"/>
    <xf numFmtId="43" fontId="113" fillId="0" borderId="5" xfId="7310" applyNumberFormat="1" applyFont="1" applyFill="1" applyBorder="1"/>
    <xf numFmtId="1" fontId="113" fillId="0" borderId="6" xfId="7310" applyNumberFormat="1" applyFont="1" applyFill="1" applyBorder="1" applyAlignment="1">
      <alignment horizontal="center"/>
    </xf>
    <xf numFmtId="43" fontId="113" fillId="0" borderId="7" xfId="7310" applyNumberFormat="1" applyFont="1" applyFill="1" applyBorder="1"/>
    <xf numFmtId="316" fontId="113" fillId="0" borderId="6" xfId="7310" applyNumberFormat="1" applyFont="1" applyFill="1" applyBorder="1"/>
    <xf numFmtId="171" fontId="113" fillId="0" borderId="0" xfId="533" applyFont="1" applyFill="1"/>
    <xf numFmtId="315" fontId="113" fillId="0" borderId="6" xfId="7310" applyNumberFormat="1" applyFont="1" applyFill="1" applyBorder="1"/>
    <xf numFmtId="171" fontId="113" fillId="0" borderId="5" xfId="533" applyFont="1" applyFill="1" applyBorder="1"/>
    <xf numFmtId="1" fontId="113" fillId="0" borderId="6" xfId="533" applyNumberFormat="1" applyFont="1" applyFill="1" applyBorder="1" applyAlignment="1">
      <alignment horizontal="center"/>
    </xf>
    <xf numFmtId="0" fontId="113" fillId="0" borderId="10" xfId="7310" applyFont="1" applyFill="1" applyBorder="1"/>
    <xf numFmtId="315" fontId="113" fillId="0" borderId="10" xfId="7310" applyNumberFormat="1" applyFont="1" applyFill="1" applyBorder="1"/>
    <xf numFmtId="171" fontId="113" fillId="0" borderId="119" xfId="533" applyFont="1" applyFill="1" applyBorder="1"/>
    <xf numFmtId="0" fontId="113" fillId="0" borderId="5" xfId="7310" applyFont="1" applyFill="1" applyBorder="1"/>
    <xf numFmtId="316" fontId="113" fillId="0" borderId="114" xfId="7310" applyNumberFormat="1" applyFont="1" applyFill="1" applyBorder="1"/>
    <xf numFmtId="0" fontId="186" fillId="0" borderId="67" xfId="7310" applyFont="1" applyFill="1" applyBorder="1"/>
    <xf numFmtId="316" fontId="186" fillId="0" borderId="4" xfId="7310" applyNumberFormat="1" applyFont="1" applyFill="1" applyBorder="1"/>
    <xf numFmtId="0" fontId="186" fillId="0" borderId="4" xfId="7310" applyFont="1" applyFill="1" applyBorder="1"/>
    <xf numFmtId="43" fontId="186" fillId="0" borderId="4" xfId="7310" applyNumberFormat="1" applyFont="1" applyFill="1" applyBorder="1"/>
    <xf numFmtId="43" fontId="186" fillId="0" borderId="46" xfId="7310" applyNumberFormat="1" applyFont="1" applyFill="1" applyBorder="1"/>
    <xf numFmtId="43" fontId="186" fillId="0" borderId="45" xfId="7310" applyNumberFormat="1" applyFont="1" applyFill="1" applyBorder="1"/>
    <xf numFmtId="316" fontId="186" fillId="0" borderId="114" xfId="7310" applyNumberFormat="1" applyFont="1" applyFill="1" applyBorder="1"/>
    <xf numFmtId="43" fontId="186" fillId="0" borderId="114" xfId="7310" applyNumberFormat="1" applyFont="1" applyFill="1" applyBorder="1"/>
    <xf numFmtId="43" fontId="186" fillId="0" borderId="6" xfId="7310" applyNumberFormat="1" applyFont="1" applyFill="1" applyBorder="1"/>
    <xf numFmtId="43" fontId="186" fillId="0" borderId="7" xfId="7310" applyNumberFormat="1" applyFont="1" applyFill="1" applyBorder="1"/>
    <xf numFmtId="316" fontId="113" fillId="0" borderId="0" xfId="7310" applyNumberFormat="1" applyFont="1" applyFill="1" applyBorder="1"/>
    <xf numFmtId="206" fontId="113" fillId="0" borderId="6" xfId="7310" applyNumberFormat="1" applyFont="1" applyFill="1" applyBorder="1"/>
    <xf numFmtId="208" fontId="113" fillId="0" borderId="7" xfId="7310" applyNumberFormat="1" applyFont="1" applyFill="1" applyBorder="1"/>
    <xf numFmtId="208" fontId="186" fillId="0" borderId="7" xfId="7310" applyNumberFormat="1" applyFont="1" applyFill="1" applyBorder="1"/>
    <xf numFmtId="0" fontId="9" fillId="14" borderId="0" xfId="7310" applyFont="1" applyFill="1"/>
    <xf numFmtId="49" fontId="9" fillId="14" borderId="0" xfId="7310" applyNumberFormat="1" applyFont="1" applyFill="1"/>
    <xf numFmtId="0" fontId="2" fillId="14" borderId="0" xfId="7310" applyFont="1" applyFill="1"/>
    <xf numFmtId="0" fontId="9" fillId="14" borderId="4" xfId="7310" applyFont="1" applyFill="1" applyBorder="1"/>
    <xf numFmtId="49" fontId="9" fillId="14" borderId="4" xfId="7310" applyNumberFormat="1" applyFont="1" applyFill="1" applyBorder="1"/>
    <xf numFmtId="49" fontId="2" fillId="110" borderId="114" xfId="7310" applyNumberFormat="1" applyFont="1" applyFill="1" applyBorder="1"/>
    <xf numFmtId="0" fontId="2" fillId="110" borderId="114" xfId="7310" applyFont="1" applyFill="1" applyBorder="1"/>
    <xf numFmtId="0" fontId="9" fillId="110" borderId="114" xfId="7310" applyFont="1" applyFill="1" applyBorder="1"/>
    <xf numFmtId="0" fontId="9" fillId="13" borderId="0" xfId="7310" applyFont="1" applyFill="1" applyBorder="1"/>
    <xf numFmtId="49" fontId="2" fillId="13" borderId="0" xfId="7310" applyNumberFormat="1" applyFont="1" applyFill="1" applyBorder="1"/>
    <xf numFmtId="0" fontId="2" fillId="13" borderId="0" xfId="7310" applyFont="1" applyFill="1" applyBorder="1"/>
    <xf numFmtId="0" fontId="255" fillId="13" borderId="0" xfId="7310" applyFont="1" applyFill="1" applyBorder="1"/>
    <xf numFmtId="0" fontId="2" fillId="0" borderId="6" xfId="7310" applyFont="1" applyBorder="1"/>
    <xf numFmtId="0" fontId="9" fillId="0" borderId="6" xfId="7310" applyFont="1" applyBorder="1"/>
    <xf numFmtId="170" fontId="9" fillId="13" borderId="0" xfId="7310" applyNumberFormat="1" applyFont="1" applyFill="1" applyBorder="1"/>
    <xf numFmtId="0" fontId="148" fillId="13" borderId="0" xfId="7310" applyFont="1" applyFill="1" applyBorder="1"/>
    <xf numFmtId="0" fontId="2" fillId="0" borderId="0" xfId="7310" applyFont="1"/>
    <xf numFmtId="0" fontId="9" fillId="0" borderId="0" xfId="7310" applyFont="1"/>
    <xf numFmtId="10" fontId="9" fillId="12" borderId="6" xfId="7310" applyNumberFormat="1" applyFont="1" applyFill="1" applyBorder="1"/>
    <xf numFmtId="0" fontId="9" fillId="0" borderId="0" xfId="7310" applyFont="1" applyBorder="1"/>
    <xf numFmtId="0" fontId="2" fillId="13" borderId="0" xfId="7310" applyFont="1" applyFill="1" applyBorder="1" applyAlignment="1">
      <alignment horizontal="right"/>
    </xf>
    <xf numFmtId="9" fontId="2" fillId="13" borderId="0" xfId="7310" applyNumberFormat="1" applyFont="1" applyFill="1" applyBorder="1"/>
    <xf numFmtId="0" fontId="9" fillId="13" borderId="0" xfId="7310" applyFont="1" applyFill="1"/>
    <xf numFmtId="0" fontId="2" fillId="13" borderId="6" xfId="7310" applyFont="1" applyFill="1" applyBorder="1" applyAlignment="1">
      <alignment horizontal="center"/>
    </xf>
    <xf numFmtId="0" fontId="9" fillId="13" borderId="24" xfId="7310" applyFont="1" applyFill="1" applyBorder="1" applyAlignment="1">
      <alignment horizontal="center"/>
    </xf>
    <xf numFmtId="0" fontId="9" fillId="13" borderId="26" xfId="7310" applyFont="1" applyFill="1" applyBorder="1" applyAlignment="1">
      <alignment horizontal="center"/>
    </xf>
    <xf numFmtId="0" fontId="9" fillId="13" borderId="23" xfId="7310" applyFont="1" applyFill="1" applyBorder="1" applyAlignment="1">
      <alignment horizontal="center"/>
    </xf>
    <xf numFmtId="0" fontId="9" fillId="13" borderId="37" xfId="7310" applyFont="1" applyFill="1" applyBorder="1" applyAlignment="1">
      <alignment horizontal="center"/>
    </xf>
    <xf numFmtId="0" fontId="9" fillId="13" borderId="0" xfId="7310" applyFont="1" applyFill="1" applyBorder="1" applyAlignment="1">
      <alignment horizontal="center"/>
    </xf>
    <xf numFmtId="0" fontId="9" fillId="13" borderId="51" xfId="7310" applyFont="1" applyFill="1" applyBorder="1" applyAlignment="1">
      <alignment horizontal="center"/>
    </xf>
    <xf numFmtId="0" fontId="2" fillId="13" borderId="0" xfId="7310" applyFont="1" applyFill="1" applyBorder="1" applyAlignment="1">
      <alignment horizontal="center" wrapText="1"/>
    </xf>
    <xf numFmtId="0" fontId="2" fillId="13" borderId="147" xfId="7310" applyFont="1" applyFill="1" applyBorder="1" applyAlignment="1">
      <alignment horizontal="left" wrapText="1"/>
    </xf>
    <xf numFmtId="0" fontId="2" fillId="13" borderId="37" xfId="7310" applyFont="1" applyFill="1" applyBorder="1" applyAlignment="1">
      <alignment horizontal="center" wrapText="1"/>
    </xf>
    <xf numFmtId="0" fontId="2" fillId="13" borderId="4" xfId="7310" applyFont="1" applyFill="1" applyBorder="1" applyAlignment="1">
      <alignment horizontal="center" wrapText="1"/>
    </xf>
    <xf numFmtId="0" fontId="2" fillId="13" borderId="47" xfId="7310" applyFont="1" applyFill="1" applyBorder="1" applyAlignment="1">
      <alignment horizontal="center" wrapText="1"/>
    </xf>
    <xf numFmtId="0" fontId="2" fillId="13" borderId="51" xfId="7310" applyFont="1" applyFill="1" applyBorder="1" applyAlignment="1">
      <alignment horizontal="center" wrapText="1"/>
    </xf>
    <xf numFmtId="0" fontId="2" fillId="13" borderId="107" xfId="7310" applyFont="1" applyFill="1" applyBorder="1" applyAlignment="1">
      <alignment horizontal="left" wrapText="1"/>
    </xf>
    <xf numFmtId="0" fontId="2" fillId="13" borderId="148" xfId="7310" applyFont="1" applyFill="1" applyBorder="1" applyAlignment="1">
      <alignment horizontal="center" wrapText="1"/>
    </xf>
    <xf numFmtId="0" fontId="2" fillId="13" borderId="149" xfId="7310" applyFont="1" applyFill="1" applyBorder="1" applyAlignment="1">
      <alignment horizontal="center" wrapText="1"/>
    </xf>
    <xf numFmtId="0" fontId="2" fillId="13" borderId="130" xfId="7310" applyFont="1" applyFill="1" applyBorder="1" applyAlignment="1">
      <alignment horizontal="center" wrapText="1"/>
    </xf>
    <xf numFmtId="0" fontId="2" fillId="13" borderId="150" xfId="7310" applyFont="1" applyFill="1" applyBorder="1" applyAlignment="1">
      <alignment horizontal="center" wrapText="1"/>
    </xf>
    <xf numFmtId="0" fontId="2" fillId="13" borderId="107" xfId="7310" applyFont="1" applyFill="1" applyBorder="1" applyAlignment="1">
      <alignment horizontal="center" wrapText="1"/>
    </xf>
    <xf numFmtId="0" fontId="2" fillId="13" borderId="129" xfId="7310" applyFont="1" applyFill="1" applyBorder="1" applyAlignment="1">
      <alignment horizontal="center" wrapText="1"/>
    </xf>
    <xf numFmtId="0" fontId="2" fillId="13" borderId="151" xfId="7310" applyFont="1" applyFill="1" applyBorder="1" applyAlignment="1">
      <alignment horizontal="center" wrapText="1"/>
    </xf>
    <xf numFmtId="170" fontId="9" fillId="13" borderId="37" xfId="755" applyNumberFormat="1" applyFont="1" applyFill="1" applyBorder="1"/>
    <xf numFmtId="170" fontId="148" fillId="13" borderId="0" xfId="755" applyNumberFormat="1" applyFont="1" applyFill="1" applyBorder="1"/>
    <xf numFmtId="170" fontId="148" fillId="13" borderId="51" xfId="755" applyNumberFormat="1" applyFont="1" applyFill="1" applyBorder="1"/>
    <xf numFmtId="170" fontId="9" fillId="13" borderId="37" xfId="755" applyNumberFormat="1" applyFont="1" applyFill="1" applyBorder="1" applyAlignment="1">
      <alignment horizontal="left" indent="3"/>
    </xf>
    <xf numFmtId="170" fontId="148" fillId="13" borderId="36" xfId="755" applyNumberFormat="1" applyFont="1" applyFill="1" applyBorder="1"/>
    <xf numFmtId="0" fontId="10" fillId="13" borderId="0" xfId="7310" applyFont="1" applyFill="1" applyBorder="1"/>
    <xf numFmtId="0" fontId="9" fillId="12" borderId="107" xfId="7310" applyFont="1" applyFill="1" applyBorder="1"/>
    <xf numFmtId="0" fontId="265" fillId="0" borderId="107" xfId="7310" applyFont="1" applyFill="1" applyBorder="1"/>
    <xf numFmtId="317" fontId="265" fillId="13" borderId="37" xfId="755" applyNumberFormat="1" applyFont="1" applyFill="1" applyBorder="1"/>
    <xf numFmtId="317" fontId="265" fillId="13" borderId="0" xfId="755" applyNumberFormat="1" applyFont="1" applyFill="1" applyBorder="1"/>
    <xf numFmtId="317" fontId="52" fillId="13" borderId="51" xfId="755" applyNumberFormat="1" applyFont="1" applyFill="1" applyBorder="1"/>
    <xf numFmtId="317" fontId="9" fillId="13" borderId="36" xfId="755" applyNumberFormat="1" applyFont="1" applyFill="1" applyBorder="1"/>
    <xf numFmtId="44" fontId="5" fillId="0" borderId="0" xfId="7309" applyFont="1"/>
    <xf numFmtId="0" fontId="254" fillId="0" borderId="0" xfId="0" applyFont="1"/>
    <xf numFmtId="44" fontId="5" fillId="0" borderId="0" xfId="0" applyNumberFormat="1" applyFont="1"/>
    <xf numFmtId="1" fontId="5" fillId="0" borderId="119" xfId="0" applyNumberFormat="1" applyFont="1" applyBorder="1"/>
    <xf numFmtId="0" fontId="5" fillId="0" borderId="100" xfId="0" applyFont="1" applyBorder="1"/>
    <xf numFmtId="0" fontId="5" fillId="32" borderId="67" xfId="0" applyFont="1" applyFill="1" applyBorder="1"/>
    <xf numFmtId="0" fontId="5" fillId="32" borderId="45" xfId="0" applyFont="1" applyFill="1" applyBorder="1"/>
    <xf numFmtId="43" fontId="5" fillId="0" borderId="16" xfId="1" applyNumberFormat="1" applyFont="1" applyBorder="1"/>
    <xf numFmtId="171" fontId="12" fillId="0" borderId="0" xfId="533" applyFont="1" applyFill="1" applyBorder="1" applyAlignment="1">
      <alignment horizontal="center" vertical="top"/>
    </xf>
    <xf numFmtId="0" fontId="113" fillId="0" borderId="67" xfId="0" applyFont="1" applyBorder="1"/>
    <xf numFmtId="0" fontId="113" fillId="0" borderId="0" xfId="0" applyFont="1" applyFill="1"/>
    <xf numFmtId="0" fontId="10" fillId="0" borderId="0" xfId="0" applyFont="1" applyFill="1"/>
    <xf numFmtId="169" fontId="113" fillId="0" borderId="0" xfId="7310" applyNumberFormat="1" applyFont="1" applyFill="1" applyBorder="1"/>
    <xf numFmtId="43" fontId="113" fillId="0" borderId="0" xfId="7310" applyNumberFormat="1" applyFont="1" applyFill="1" applyBorder="1"/>
    <xf numFmtId="1" fontId="113" fillId="0" borderId="0" xfId="7310" applyNumberFormat="1" applyFont="1" applyFill="1" applyBorder="1" applyAlignment="1">
      <alignment horizontal="center"/>
    </xf>
    <xf numFmtId="0" fontId="97" fillId="0" borderId="0" xfId="0" applyFont="1" applyFill="1"/>
    <xf numFmtId="320" fontId="9" fillId="13" borderId="0" xfId="7310" applyNumberFormat="1" applyFont="1" applyFill="1" applyBorder="1"/>
    <xf numFmtId="0" fontId="0" fillId="0" borderId="0" xfId="0" applyFill="1"/>
    <xf numFmtId="0" fontId="266" fillId="0" borderId="6" xfId="0" applyFont="1" applyBorder="1" applyAlignment="1">
      <alignment vertical="top" wrapText="1"/>
    </xf>
    <xf numFmtId="0" fontId="266" fillId="0" borderId="6" xfId="0" applyFont="1" applyFill="1" applyBorder="1" applyAlignment="1">
      <alignment vertical="top" wrapText="1"/>
    </xf>
    <xf numFmtId="0" fontId="266" fillId="0" borderId="6" xfId="0" applyFont="1" applyBorder="1" applyAlignment="1">
      <alignment horizontal="left" vertical="top" wrapText="1"/>
    </xf>
    <xf numFmtId="43" fontId="266" fillId="0" borderId="6" xfId="1" applyFont="1" applyBorder="1" applyAlignment="1">
      <alignment horizontal="left" vertical="top" wrapText="1"/>
    </xf>
    <xf numFmtId="0" fontId="266" fillId="0" borderId="5" xfId="0" applyFont="1" applyBorder="1" applyAlignment="1">
      <alignment horizontal="left" vertical="top" wrapText="1"/>
    </xf>
    <xf numFmtId="43" fontId="0" fillId="0" borderId="6" xfId="0" applyNumberFormat="1" applyFill="1" applyBorder="1"/>
    <xf numFmtId="43" fontId="0" fillId="0" borderId="6" xfId="0" applyNumberFormat="1" applyBorder="1"/>
    <xf numFmtId="43" fontId="0" fillId="0" borderId="6" xfId="1" applyFont="1" applyBorder="1"/>
    <xf numFmtId="43" fontId="0" fillId="0" borderId="5" xfId="0" applyNumberFormat="1" applyBorder="1"/>
    <xf numFmtId="0" fontId="0" fillId="0" borderId="6" xfId="0" applyBorder="1"/>
    <xf numFmtId="43" fontId="0" fillId="0" borderId="6" xfId="1" applyFont="1" applyFill="1" applyBorder="1"/>
    <xf numFmtId="43" fontId="0" fillId="9" borderId="6" xfId="0" applyNumberFormat="1" applyFill="1" applyBorder="1"/>
    <xf numFmtId="43" fontId="0" fillId="9" borderId="6" xfId="1" applyFont="1" applyFill="1" applyBorder="1"/>
    <xf numFmtId="43" fontId="0" fillId="9" borderId="5" xfId="0" applyNumberFormat="1" applyFill="1" applyBorder="1"/>
    <xf numFmtId="43" fontId="266" fillId="0" borderId="6" xfId="0" applyNumberFormat="1" applyFont="1" applyFill="1" applyBorder="1"/>
    <xf numFmtId="43" fontId="266" fillId="0" borderId="6" xfId="0" applyNumberFormat="1" applyFont="1" applyFill="1" applyBorder="1" applyAlignment="1">
      <alignment vertical="top" wrapText="1"/>
    </xf>
    <xf numFmtId="208" fontId="0" fillId="0" borderId="6" xfId="1" applyNumberFormat="1" applyFont="1" applyBorder="1"/>
    <xf numFmtId="0" fontId="0" fillId="9" borderId="6" xfId="0" applyFill="1" applyBorder="1"/>
    <xf numFmtId="0" fontId="0" fillId="9" borderId="5" xfId="0" applyFill="1" applyBorder="1"/>
    <xf numFmtId="0" fontId="267" fillId="0" borderId="6" xfId="0" applyFont="1" applyFill="1" applyBorder="1"/>
    <xf numFmtId="43" fontId="267" fillId="0" borderId="6" xfId="1" applyFont="1" applyFill="1" applyBorder="1"/>
    <xf numFmtId="0" fontId="267" fillId="0" borderId="5" xfId="0" applyFont="1" applyFill="1" applyBorder="1"/>
    <xf numFmtId="0" fontId="0" fillId="0" borderId="6" xfId="0" applyFill="1" applyBorder="1"/>
    <xf numFmtId="208" fontId="0" fillId="0" borderId="6" xfId="1" applyNumberFormat="1" applyFont="1" applyFill="1" applyBorder="1"/>
    <xf numFmtId="0" fontId="266" fillId="0" borderId="6" xfId="0" applyFont="1" applyFill="1" applyBorder="1" applyAlignment="1">
      <alignment wrapText="1"/>
    </xf>
    <xf numFmtId="0" fontId="266" fillId="0" borderId="5" xfId="0" applyFont="1" applyFill="1" applyBorder="1" applyAlignment="1">
      <alignment wrapText="1"/>
    </xf>
    <xf numFmtId="0" fontId="0" fillId="0" borderId="5" xfId="0" applyBorder="1"/>
    <xf numFmtId="43" fontId="266" fillId="0" borderId="5" xfId="0" applyNumberFormat="1" applyFont="1" applyFill="1" applyBorder="1" applyAlignment="1">
      <alignment wrapText="1"/>
    </xf>
    <xf numFmtId="43" fontId="0" fillId="0" borderId="5" xfId="0" applyNumberFormat="1" applyFill="1" applyBorder="1"/>
    <xf numFmtId="0" fontId="0" fillId="9" borderId="0" xfId="0" applyFill="1"/>
    <xf numFmtId="43" fontId="0" fillId="9" borderId="0" xfId="1" applyFont="1" applyFill="1"/>
    <xf numFmtId="43" fontId="0" fillId="9" borderId="0" xfId="0" applyNumberFormat="1" applyFill="1" applyBorder="1"/>
    <xf numFmtId="0" fontId="0" fillId="0" borderId="10" xfId="0" applyBorder="1"/>
    <xf numFmtId="43" fontId="266" fillId="0" borderId="6" xfId="1" applyFont="1" applyBorder="1" applyAlignment="1">
      <alignment wrapText="1"/>
    </xf>
    <xf numFmtId="0" fontId="0" fillId="0" borderId="6" xfId="0" applyBorder="1" applyAlignment="1">
      <alignment vertical="top"/>
    </xf>
    <xf numFmtId="43" fontId="0" fillId="0" borderId="0" xfId="1" applyFont="1"/>
    <xf numFmtId="0" fontId="113" fillId="32" borderId="0" xfId="0" applyFont="1" applyFill="1"/>
    <xf numFmtId="0" fontId="10" fillId="32" borderId="0" xfId="0" applyFont="1" applyFill="1"/>
    <xf numFmtId="0" fontId="113" fillId="32" borderId="6" xfId="0" applyFont="1" applyFill="1" applyBorder="1"/>
    <xf numFmtId="169" fontId="113" fillId="32" borderId="6" xfId="0" applyNumberFormat="1" applyFont="1" applyFill="1" applyBorder="1"/>
    <xf numFmtId="43" fontId="113" fillId="32" borderId="6" xfId="0" applyNumberFormat="1" applyFont="1" applyFill="1" applyBorder="1"/>
    <xf numFmtId="43" fontId="113" fillId="32" borderId="5" xfId="0" applyNumberFormat="1" applyFont="1" applyFill="1" applyBorder="1"/>
    <xf numFmtId="1" fontId="113" fillId="32" borderId="6" xfId="0" applyNumberFormat="1" applyFont="1" applyFill="1" applyBorder="1" applyAlignment="1">
      <alignment horizontal="center"/>
    </xf>
    <xf numFmtId="43" fontId="113" fillId="32" borderId="7" xfId="0" applyNumberFormat="1" applyFont="1" applyFill="1" applyBorder="1"/>
    <xf numFmtId="316" fontId="113" fillId="32" borderId="6" xfId="0" applyNumberFormat="1" applyFont="1" applyFill="1" applyBorder="1"/>
    <xf numFmtId="315" fontId="113" fillId="32" borderId="6" xfId="0" applyNumberFormat="1" applyFont="1" applyFill="1" applyBorder="1"/>
    <xf numFmtId="171" fontId="113" fillId="32" borderId="5" xfId="533" applyFont="1" applyFill="1" applyBorder="1"/>
    <xf numFmtId="1" fontId="113" fillId="32" borderId="6" xfId="533" applyNumberFormat="1" applyFont="1" applyFill="1" applyBorder="1" applyAlignment="1">
      <alignment horizontal="center"/>
    </xf>
    <xf numFmtId="0" fontId="113" fillId="32" borderId="10" xfId="0" applyFont="1" applyFill="1" applyBorder="1"/>
    <xf numFmtId="315" fontId="113" fillId="32" borderId="10" xfId="0" applyNumberFormat="1" applyFont="1" applyFill="1" applyBorder="1"/>
    <xf numFmtId="171" fontId="113" fillId="32" borderId="119" xfId="533" applyFont="1" applyFill="1" applyBorder="1"/>
    <xf numFmtId="0" fontId="113" fillId="32" borderId="5" xfId="0" applyFont="1" applyFill="1" applyBorder="1"/>
    <xf numFmtId="316" fontId="113" fillId="32" borderId="114" xfId="0" applyNumberFormat="1" applyFont="1" applyFill="1" applyBorder="1"/>
    <xf numFmtId="0" fontId="113" fillId="32" borderId="114" xfId="0" applyFont="1" applyFill="1" applyBorder="1"/>
    <xf numFmtId="0" fontId="113" fillId="32" borderId="7" xfId="0" applyFont="1" applyFill="1" applyBorder="1"/>
    <xf numFmtId="0" fontId="186" fillId="32" borderId="67" xfId="0" applyFont="1" applyFill="1" applyBorder="1"/>
    <xf numFmtId="316" fontId="186" fillId="32" borderId="4" xfId="0" applyNumberFormat="1" applyFont="1" applyFill="1" applyBorder="1"/>
    <xf numFmtId="0" fontId="186" fillId="32" borderId="4" xfId="0" applyFont="1" applyFill="1" applyBorder="1"/>
    <xf numFmtId="43" fontId="186" fillId="32" borderId="4" xfId="0" applyNumberFormat="1" applyFont="1" applyFill="1" applyBorder="1"/>
    <xf numFmtId="43" fontId="186" fillId="32" borderId="46" xfId="0" applyNumberFormat="1" applyFont="1" applyFill="1" applyBorder="1"/>
    <xf numFmtId="43" fontId="186" fillId="32" borderId="45" xfId="0" applyNumberFormat="1" applyFont="1" applyFill="1" applyBorder="1"/>
    <xf numFmtId="0" fontId="113" fillId="0" borderId="119" xfId="0" applyFont="1" applyFill="1" applyBorder="1"/>
    <xf numFmtId="0" fontId="113" fillId="0" borderId="100" xfId="0" applyFont="1" applyFill="1" applyBorder="1"/>
    <xf numFmtId="205" fontId="5" fillId="0" borderId="0" xfId="0" applyNumberFormat="1" applyFont="1"/>
    <xf numFmtId="9" fontId="5" fillId="0" borderId="0" xfId="0" applyNumberFormat="1" applyFont="1" applyFill="1"/>
    <xf numFmtId="0" fontId="268" fillId="0" borderId="0" xfId="0" applyFont="1" applyBorder="1"/>
    <xf numFmtId="3" fontId="270" fillId="0" borderId="0" xfId="0" applyNumberFormat="1" applyFont="1" applyFill="1" applyBorder="1" applyAlignment="1" applyProtection="1">
      <alignment horizontal="left" wrapText="1"/>
    </xf>
    <xf numFmtId="3" fontId="269" fillId="0" borderId="0" xfId="0" applyNumberFormat="1" applyFont="1" applyBorder="1" applyAlignment="1" applyProtection="1">
      <alignment horizontal="left" wrapText="1"/>
    </xf>
    <xf numFmtId="205" fontId="268" fillId="0" borderId="0" xfId="0" applyNumberFormat="1" applyFont="1" applyFill="1" applyBorder="1"/>
    <xf numFmtId="205" fontId="268" fillId="0" borderId="0" xfId="0" applyNumberFormat="1" applyFont="1" applyBorder="1"/>
    <xf numFmtId="9" fontId="268" fillId="0" borderId="0" xfId="2" applyFont="1" applyBorder="1"/>
    <xf numFmtId="205" fontId="95" fillId="0" borderId="0" xfId="0" applyNumberFormat="1" applyFont="1" applyFill="1" applyBorder="1"/>
    <xf numFmtId="207" fontId="5" fillId="0" borderId="0" xfId="1" applyNumberFormat="1" applyFont="1" applyFill="1" applyBorder="1"/>
    <xf numFmtId="207" fontId="95" fillId="0" borderId="0" xfId="1" applyNumberFormat="1" applyFont="1" applyFill="1" applyBorder="1"/>
    <xf numFmtId="207" fontId="5" fillId="0" borderId="4" xfId="1" applyNumberFormat="1" applyFont="1" applyFill="1" applyBorder="1"/>
    <xf numFmtId="169" fontId="95" fillId="0" borderId="0" xfId="2" applyNumberFormat="1" applyFont="1" applyFill="1" applyBorder="1"/>
    <xf numFmtId="169" fontId="5" fillId="0" borderId="0" xfId="2" applyNumberFormat="1" applyFont="1" applyFill="1" applyBorder="1"/>
    <xf numFmtId="169" fontId="5" fillId="0" borderId="4" xfId="2" applyNumberFormat="1" applyFont="1" applyFill="1" applyBorder="1"/>
    <xf numFmtId="0" fontId="89" fillId="0" borderId="119" xfId="0" applyFont="1" applyFill="1" applyBorder="1"/>
    <xf numFmtId="0" fontId="5" fillId="0" borderId="66" xfId="0" applyFont="1" applyFill="1" applyBorder="1"/>
    <xf numFmtId="3" fontId="6" fillId="0" borderId="5" xfId="0" applyNumberFormat="1" applyFont="1" applyFill="1" applyBorder="1" applyAlignment="1" applyProtection="1">
      <alignment horizontal="left"/>
    </xf>
    <xf numFmtId="0" fontId="5" fillId="0" borderId="16" xfId="0" applyFont="1" applyFill="1" applyBorder="1"/>
    <xf numFmtId="0" fontId="5" fillId="0" borderId="16" xfId="0" applyFont="1" applyFill="1" applyBorder="1" applyAlignment="1">
      <alignment horizontal="right"/>
    </xf>
    <xf numFmtId="3" fontId="6" fillId="0" borderId="8" xfId="0" applyNumberFormat="1" applyFont="1" applyFill="1" applyBorder="1" applyAlignment="1" applyProtection="1">
      <alignment horizontal="left"/>
    </xf>
    <xf numFmtId="3" fontId="6" fillId="0" borderId="5" xfId="0" applyNumberFormat="1" applyFont="1" applyFill="1" applyBorder="1" applyAlignment="1" applyProtection="1">
      <alignment horizontal="right"/>
    </xf>
    <xf numFmtId="3" fontId="6" fillId="0" borderId="114" xfId="0" applyNumberFormat="1" applyFont="1" applyFill="1" applyBorder="1" applyAlignment="1" applyProtection="1">
      <alignment horizontal="right"/>
    </xf>
    <xf numFmtId="3" fontId="6" fillId="0" borderId="7" xfId="0" applyNumberFormat="1" applyFont="1" applyFill="1" applyBorder="1" applyAlignment="1" applyProtection="1">
      <alignment horizontal="right"/>
    </xf>
    <xf numFmtId="3" fontId="6" fillId="0" borderId="119" xfId="0" applyNumberFormat="1" applyFont="1" applyFill="1" applyBorder="1" applyAlignment="1" applyProtection="1">
      <alignment horizontal="left"/>
    </xf>
    <xf numFmtId="3" fontId="6" fillId="0" borderId="65" xfId="0" applyNumberFormat="1" applyFont="1" applyFill="1" applyBorder="1" applyAlignment="1" applyProtection="1">
      <alignment horizontal="left"/>
    </xf>
    <xf numFmtId="0" fontId="5" fillId="0" borderId="57" xfId="0" applyFont="1" applyFill="1" applyBorder="1"/>
    <xf numFmtId="0" fontId="7" fillId="0" borderId="65" xfId="0" applyFont="1" applyFill="1" applyBorder="1" applyProtection="1"/>
    <xf numFmtId="207" fontId="5" fillId="0" borderId="119" xfId="1" applyNumberFormat="1" applyFont="1" applyFill="1" applyBorder="1"/>
    <xf numFmtId="208" fontId="94" fillId="0" borderId="66" xfId="1" applyNumberFormat="1" applyFont="1" applyFill="1" applyBorder="1"/>
    <xf numFmtId="9" fontId="5" fillId="0" borderId="100" xfId="2" applyFont="1" applyFill="1" applyBorder="1"/>
    <xf numFmtId="9" fontId="5" fillId="0" borderId="16" xfId="2" applyFont="1" applyFill="1" applyBorder="1"/>
    <xf numFmtId="0" fontId="5" fillId="0" borderId="99" xfId="0" applyFont="1" applyFill="1" applyBorder="1"/>
    <xf numFmtId="0" fontId="7" fillId="0" borderId="0" xfId="0" applyFont="1" applyFill="1" applyBorder="1" applyProtection="1"/>
    <xf numFmtId="207" fontId="5" fillId="0" borderId="100" xfId="1" applyNumberFormat="1" applyFont="1" applyFill="1" applyBorder="1"/>
    <xf numFmtId="294" fontId="94" fillId="0" borderId="16" xfId="0" applyNumberFormat="1" applyFont="1" applyFill="1" applyBorder="1"/>
    <xf numFmtId="198" fontId="94" fillId="0" borderId="0" xfId="0" applyNumberFormat="1" applyFont="1" applyFill="1" applyBorder="1"/>
    <xf numFmtId="205" fontId="5" fillId="0" borderId="0" xfId="0" applyNumberFormat="1" applyFont="1" applyFill="1" applyBorder="1"/>
    <xf numFmtId="205" fontId="5" fillId="0" borderId="16" xfId="0" applyNumberFormat="1" applyFont="1" applyFill="1" applyBorder="1"/>
    <xf numFmtId="0" fontId="7" fillId="0" borderId="4" xfId="0" applyFont="1" applyFill="1" applyBorder="1" applyProtection="1"/>
    <xf numFmtId="207" fontId="5" fillId="0" borderId="67" xfId="1" applyNumberFormat="1" applyFont="1" applyFill="1" applyBorder="1"/>
    <xf numFmtId="205" fontId="5" fillId="0" borderId="4" xfId="0" applyNumberFormat="1" applyFont="1" applyFill="1" applyBorder="1"/>
    <xf numFmtId="205" fontId="5" fillId="0" borderId="45" xfId="0" applyNumberFormat="1" applyFont="1" applyFill="1" applyBorder="1"/>
    <xf numFmtId="9" fontId="5" fillId="0" borderId="67" xfId="2" applyFont="1" applyFill="1" applyBorder="1"/>
    <xf numFmtId="0" fontId="5" fillId="0" borderId="45" xfId="0" applyFont="1" applyFill="1" applyBorder="1"/>
    <xf numFmtId="207" fontId="94" fillId="0" borderId="65" xfId="1" applyNumberFormat="1" applyFont="1" applyFill="1" applyBorder="1"/>
    <xf numFmtId="207" fontId="94" fillId="0" borderId="0" xfId="1" applyNumberFormat="1" applyFont="1" applyFill="1" applyBorder="1"/>
    <xf numFmtId="198" fontId="5" fillId="0" borderId="100" xfId="0" applyNumberFormat="1" applyFont="1" applyFill="1" applyBorder="1"/>
    <xf numFmtId="43" fontId="5" fillId="0" borderId="82" xfId="1" applyNumberFormat="1" applyFont="1" applyBorder="1"/>
    <xf numFmtId="43" fontId="89" fillId="0" borderId="82" xfId="1" applyNumberFormat="1" applyFont="1" applyBorder="1"/>
    <xf numFmtId="43" fontId="5" fillId="0" borderId="36" xfId="1" applyFont="1" applyBorder="1"/>
    <xf numFmtId="0" fontId="7" fillId="0" borderId="0" xfId="0" applyFont="1" applyFill="1" applyProtection="1"/>
    <xf numFmtId="204" fontId="5" fillId="32" borderId="0" xfId="0" applyNumberFormat="1" applyFont="1" applyFill="1"/>
    <xf numFmtId="0" fontId="97" fillId="9" borderId="0" xfId="0" applyFont="1" applyFill="1"/>
    <xf numFmtId="43" fontId="97" fillId="9" borderId="0" xfId="1" applyFont="1" applyFill="1"/>
    <xf numFmtId="0" fontId="0" fillId="0" borderId="5" xfId="0" applyFill="1" applyBorder="1"/>
    <xf numFmtId="0" fontId="9" fillId="14" borderId="0" xfId="0" applyFont="1" applyFill="1"/>
    <xf numFmtId="49" fontId="9" fillId="14" borderId="0" xfId="0" applyNumberFormat="1" applyFont="1" applyFill="1"/>
    <xf numFmtId="0" fontId="2" fillId="14" borderId="0" xfId="0" applyFont="1" applyFill="1"/>
    <xf numFmtId="0" fontId="9" fillId="14" borderId="4" xfId="0" applyFont="1" applyFill="1" applyBorder="1"/>
    <xf numFmtId="49" fontId="9" fillId="14" borderId="4" xfId="0" applyNumberFormat="1" applyFont="1" applyFill="1" applyBorder="1"/>
    <xf numFmtId="0" fontId="9" fillId="0" borderId="0" xfId="0" applyFont="1"/>
    <xf numFmtId="49" fontId="9" fillId="0" borderId="0" xfId="0" applyNumberFormat="1" applyFont="1"/>
    <xf numFmtId="0" fontId="2" fillId="0" borderId="0" xfId="0" applyFont="1"/>
    <xf numFmtId="0" fontId="9" fillId="110" borderId="114" xfId="0" applyFont="1" applyFill="1" applyBorder="1"/>
    <xf numFmtId="49" fontId="2" fillId="110" borderId="114" xfId="0" applyNumberFormat="1" applyFont="1" applyFill="1" applyBorder="1"/>
    <xf numFmtId="0" fontId="2" fillId="110" borderId="114" xfId="0" applyFont="1" applyFill="1" applyBorder="1"/>
    <xf numFmtId="0" fontId="193" fillId="0" borderId="0" xfId="0" applyFont="1"/>
    <xf numFmtId="0" fontId="271" fillId="0" borderId="0" xfId="0" applyFont="1"/>
    <xf numFmtId="49" fontId="0" fillId="0" borderId="0" xfId="0" applyNumberFormat="1"/>
    <xf numFmtId="0" fontId="106" fillId="0" borderId="0" xfId="0" applyFont="1"/>
    <xf numFmtId="0" fontId="272" fillId="0" borderId="119" xfId="0" applyFont="1" applyBorder="1"/>
    <xf numFmtId="0" fontId="9" fillId="0" borderId="108" xfId="0" applyFont="1" applyBorder="1"/>
    <xf numFmtId="0" fontId="106" fillId="0" borderId="152" xfId="0" applyFont="1" applyBorder="1"/>
    <xf numFmtId="0" fontId="9" fillId="147" borderId="100" xfId="0" applyFont="1" applyFill="1" applyBorder="1"/>
    <xf numFmtId="0" fontId="273" fillId="147" borderId="0" xfId="0" applyFont="1" applyFill="1" applyBorder="1"/>
    <xf numFmtId="0" fontId="274" fillId="147" borderId="16" xfId="0" applyFont="1" applyFill="1" applyBorder="1"/>
    <xf numFmtId="1" fontId="12" fillId="147" borderId="6" xfId="9" applyNumberFormat="1" applyFont="1" applyFill="1" applyBorder="1" applyAlignment="1">
      <alignment horizontal="center" vertical="top"/>
    </xf>
    <xf numFmtId="10" fontId="12" fillId="147" borderId="6" xfId="682" applyNumberFormat="1" applyFont="1" applyFill="1" applyBorder="1" applyAlignment="1">
      <alignment horizontal="center" vertical="top"/>
    </xf>
    <xf numFmtId="1" fontId="12" fillId="147" borderId="6" xfId="9" applyNumberFormat="1" applyFont="1" applyFill="1" applyBorder="1" applyAlignment="1">
      <alignment horizontal="right" vertical="top"/>
    </xf>
    <xf numFmtId="9" fontId="12" fillId="147" borderId="6" xfId="682" applyNumberFormat="1" applyFont="1" applyFill="1" applyBorder="1" applyAlignment="1">
      <alignment horizontal="center" vertical="top"/>
    </xf>
    <xf numFmtId="9" fontId="12" fillId="147" borderId="6" xfId="682" applyFont="1" applyFill="1" applyBorder="1" applyAlignment="1">
      <alignment horizontal="center" vertical="top"/>
    </xf>
    <xf numFmtId="176" fontId="12" fillId="147" borderId="6" xfId="9" applyNumberFormat="1" applyFont="1" applyFill="1" applyBorder="1" applyAlignment="1">
      <alignment horizontal="right" vertical="top"/>
    </xf>
    <xf numFmtId="316" fontId="12" fillId="147" borderId="6" xfId="533" applyNumberFormat="1" applyFont="1" applyFill="1" applyBorder="1" applyAlignment="1">
      <alignment horizontal="right" vertical="top"/>
    </xf>
    <xf numFmtId="319" fontId="113" fillId="147" borderId="6" xfId="533" applyNumberFormat="1" applyFont="1" applyFill="1" applyBorder="1" applyAlignment="1">
      <alignment horizontal="right" vertical="top"/>
    </xf>
    <xf numFmtId="171" fontId="113" fillId="0" borderId="6" xfId="533" applyNumberFormat="1" applyFont="1" applyFill="1" applyBorder="1" applyAlignment="1">
      <alignment horizontal="right" vertical="top"/>
    </xf>
    <xf numFmtId="171" fontId="113" fillId="147" borderId="6" xfId="533" applyFont="1" applyFill="1" applyBorder="1" applyAlignment="1">
      <alignment horizontal="right" vertical="top"/>
    </xf>
    <xf numFmtId="316" fontId="113" fillId="147" borderId="6" xfId="533" applyNumberFormat="1" applyFont="1" applyFill="1" applyBorder="1" applyAlignment="1">
      <alignment horizontal="right" vertical="top"/>
    </xf>
    <xf numFmtId="0" fontId="113" fillId="0" borderId="0" xfId="4" applyFont="1"/>
    <xf numFmtId="9" fontId="113" fillId="147" borderId="6" xfId="682" applyFont="1" applyFill="1" applyBorder="1" applyAlignment="1">
      <alignment horizontal="right" vertical="top"/>
    </xf>
    <xf numFmtId="168" fontId="5" fillId="147" borderId="0" xfId="2" applyNumberFormat="1" applyFont="1" applyFill="1"/>
    <xf numFmtId="168" fontId="5" fillId="147" borderId="2" xfId="2" applyNumberFormat="1" applyFont="1" applyFill="1" applyBorder="1"/>
    <xf numFmtId="10" fontId="5" fillId="147" borderId="2" xfId="2" applyNumberFormat="1" applyFont="1" applyFill="1" applyBorder="1"/>
    <xf numFmtId="9" fontId="5" fillId="147" borderId="0" xfId="0" applyNumberFormat="1" applyFont="1" applyFill="1"/>
    <xf numFmtId="204" fontId="5" fillId="147" borderId="2" xfId="1" applyNumberFormat="1" applyFont="1" applyFill="1" applyBorder="1"/>
    <xf numFmtId="207" fontId="5" fillId="147" borderId="2" xfId="1" applyNumberFormat="1" applyFont="1" applyFill="1" applyBorder="1"/>
    <xf numFmtId="168" fontId="44" fillId="147" borderId="0" xfId="682" applyNumberFormat="1" applyFont="1" applyFill="1" applyBorder="1"/>
    <xf numFmtId="0" fontId="7" fillId="124" borderId="0" xfId="0" applyFont="1" applyFill="1" applyProtection="1"/>
    <xf numFmtId="43" fontId="96" fillId="124" borderId="0" xfId="0" applyNumberFormat="1" applyFont="1" applyFill="1"/>
    <xf numFmtId="2" fontId="96" fillId="124" borderId="0" xfId="0" applyNumberFormat="1" applyFont="1" applyFill="1"/>
    <xf numFmtId="169" fontId="96" fillId="124" borderId="0" xfId="0" applyNumberFormat="1" applyFont="1" applyFill="1"/>
    <xf numFmtId="169" fontId="94" fillId="124" borderId="0" xfId="0" applyNumberFormat="1" applyFont="1" applyFill="1"/>
    <xf numFmtId="43" fontId="0" fillId="147" borderId="6" xfId="0" applyNumberFormat="1" applyFill="1" applyBorder="1"/>
    <xf numFmtId="43" fontId="0" fillId="147" borderId="6" xfId="1" applyNumberFormat="1" applyFont="1" applyFill="1" applyBorder="1"/>
    <xf numFmtId="43" fontId="0" fillId="147" borderId="6" xfId="1" applyFont="1" applyFill="1" applyBorder="1"/>
    <xf numFmtId="43" fontId="0" fillId="147" borderId="5" xfId="0" applyNumberFormat="1" applyFill="1" applyBorder="1"/>
    <xf numFmtId="208" fontId="0" fillId="147" borderId="6" xfId="1" applyNumberFormat="1" applyFont="1" applyFill="1" applyBorder="1"/>
    <xf numFmtId="204" fontId="0" fillId="147" borderId="5" xfId="1" applyNumberFormat="1" applyFont="1" applyFill="1" applyBorder="1"/>
    <xf numFmtId="0" fontId="0" fillId="147" borderId="6" xfId="0" applyFill="1" applyBorder="1"/>
    <xf numFmtId="9" fontId="96" fillId="124" borderId="0" xfId="2" applyFont="1" applyFill="1"/>
    <xf numFmtId="44" fontId="44" fillId="124" borderId="7" xfId="8" applyFont="1" applyFill="1" applyBorder="1"/>
    <xf numFmtId="44" fontId="83" fillId="148" borderId="7" xfId="7" applyFont="1" applyFill="1" applyBorder="1"/>
    <xf numFmtId="170" fontId="44" fillId="148" borderId="7" xfId="8" applyNumberFormat="1" applyFont="1" applyFill="1" applyBorder="1"/>
    <xf numFmtId="170" fontId="44" fillId="148" borderId="6" xfId="8" applyNumberFormat="1" applyFont="1" applyFill="1" applyBorder="1" applyAlignment="1">
      <alignment horizontal="right"/>
    </xf>
    <xf numFmtId="170" fontId="44" fillId="124" borderId="6" xfId="8" applyNumberFormat="1" applyFont="1" applyFill="1" applyBorder="1"/>
    <xf numFmtId="170" fontId="44" fillId="124" borderId="6" xfId="8" applyNumberFormat="1" applyFont="1" applyFill="1" applyBorder="1" applyAlignment="1">
      <alignment horizontal="right"/>
    </xf>
    <xf numFmtId="172" fontId="44" fillId="124" borderId="7" xfId="8" applyNumberFormat="1" applyFont="1" applyFill="1" applyBorder="1"/>
    <xf numFmtId="170" fontId="44" fillId="124" borderId="7" xfId="8" applyNumberFormat="1" applyFont="1" applyFill="1" applyBorder="1"/>
    <xf numFmtId="43" fontId="96" fillId="124" borderId="0" xfId="1" applyNumberFormat="1" applyFont="1" applyFill="1"/>
    <xf numFmtId="43" fontId="96" fillId="124" borderId="0" xfId="1" applyFont="1" applyFill="1"/>
    <xf numFmtId="0" fontId="258" fillId="32" borderId="59" xfId="0" applyFont="1" applyFill="1" applyBorder="1" applyAlignment="1">
      <alignment horizontal="center" vertical="center" wrapText="1"/>
    </xf>
    <xf numFmtId="168" fontId="246" fillId="124" borderId="129" xfId="0" applyNumberFormat="1" applyFont="1" applyFill="1" applyBorder="1" applyAlignment="1">
      <alignment horizontal="center" vertical="center"/>
    </xf>
    <xf numFmtId="168" fontId="246" fillId="124" borderId="130" xfId="0" applyNumberFormat="1" applyFont="1" applyFill="1" applyBorder="1" applyAlignment="1">
      <alignment horizontal="center" vertical="center"/>
    </xf>
    <xf numFmtId="314" fontId="246" fillId="124" borderId="129" xfId="0" applyNumberFormat="1" applyFont="1" applyFill="1" applyBorder="1" applyAlignment="1">
      <alignment horizontal="center" vertical="center"/>
    </xf>
    <xf numFmtId="10" fontId="260" fillId="124" borderId="143" xfId="0" applyNumberFormat="1" applyFont="1" applyFill="1" applyBorder="1" applyAlignment="1">
      <alignment horizontal="center"/>
    </xf>
    <xf numFmtId="9" fontId="260" fillId="124" borderId="143" xfId="0" applyNumberFormat="1" applyFont="1" applyFill="1" applyBorder="1" applyAlignment="1">
      <alignment horizontal="center"/>
    </xf>
    <xf numFmtId="314" fontId="260" fillId="124" borderId="143" xfId="0" applyNumberFormat="1" applyFont="1" applyFill="1" applyBorder="1" applyAlignment="1">
      <alignment horizontal="center"/>
    </xf>
    <xf numFmtId="9" fontId="260" fillId="124" borderId="143" xfId="2" applyFont="1" applyFill="1" applyBorder="1" applyAlignment="1">
      <alignment horizontal="center"/>
    </xf>
    <xf numFmtId="168" fontId="94" fillId="147" borderId="2" xfId="2" applyNumberFormat="1" applyFont="1" applyFill="1" applyBorder="1"/>
    <xf numFmtId="204" fontId="96" fillId="147" borderId="37" xfId="1" applyNumberFormat="1" applyFont="1" applyFill="1" applyBorder="1"/>
    <xf numFmtId="204" fontId="96" fillId="147" borderId="51" xfId="1" applyNumberFormat="1" applyFont="1" applyFill="1" applyBorder="1"/>
    <xf numFmtId="204" fontId="96" fillId="147" borderId="38" xfId="1" applyNumberFormat="1" applyFont="1" applyFill="1" applyBorder="1"/>
    <xf numFmtId="204" fontId="96" fillId="147" borderId="64" xfId="1" applyNumberFormat="1" applyFont="1" applyFill="1" applyBorder="1"/>
    <xf numFmtId="204" fontId="96" fillId="147" borderId="24" xfId="1" applyNumberFormat="1" applyFont="1" applyFill="1" applyBorder="1"/>
    <xf numFmtId="204" fontId="96" fillId="147" borderId="23" xfId="1" applyNumberFormat="1" applyFont="1" applyFill="1" applyBorder="1"/>
    <xf numFmtId="204" fontId="96" fillId="32" borderId="37" xfId="0" applyNumberFormat="1" applyFont="1" applyFill="1" applyBorder="1"/>
    <xf numFmtId="204" fontId="96" fillId="147" borderId="26" xfId="1" applyNumberFormat="1" applyFont="1" applyFill="1" applyBorder="1"/>
    <xf numFmtId="204" fontId="96" fillId="147" borderId="0" xfId="1" applyNumberFormat="1" applyFont="1" applyFill="1" applyBorder="1"/>
    <xf numFmtId="204" fontId="96" fillId="147" borderId="13" xfId="1" applyNumberFormat="1" applyFont="1" applyFill="1" applyBorder="1"/>
    <xf numFmtId="0" fontId="96" fillId="32" borderId="24" xfId="0" applyFont="1" applyFill="1" applyBorder="1"/>
    <xf numFmtId="0" fontId="96" fillId="32" borderId="37" xfId="0" applyFont="1" applyFill="1" applyBorder="1"/>
    <xf numFmtId="0" fontId="96" fillId="32" borderId="38" xfId="0" applyFont="1" applyFill="1" applyBorder="1"/>
    <xf numFmtId="2" fontId="96" fillId="124" borderId="0" xfId="1" applyNumberFormat="1" applyFont="1" applyFill="1"/>
    <xf numFmtId="0" fontId="5" fillId="32" borderId="15" xfId="0" applyFont="1" applyFill="1" applyBorder="1"/>
    <xf numFmtId="204" fontId="5" fillId="32" borderId="0" xfId="1" applyNumberFormat="1" applyFont="1" applyFill="1" applyBorder="1"/>
    <xf numFmtId="204" fontId="5" fillId="32" borderId="16" xfId="1" applyNumberFormat="1" applyFont="1" applyFill="1" applyBorder="1"/>
    <xf numFmtId="43" fontId="5" fillId="32" borderId="100" xfId="1" applyFont="1" applyFill="1" applyBorder="1"/>
    <xf numFmtId="43" fontId="5" fillId="32" borderId="0" xfId="0" applyNumberFormat="1" applyFont="1" applyFill="1" applyBorder="1"/>
    <xf numFmtId="43" fontId="5" fillId="32" borderId="16" xfId="0" applyNumberFormat="1" applyFont="1" applyFill="1" applyBorder="1"/>
    <xf numFmtId="9" fontId="5" fillId="32" borderId="100" xfId="2" applyFont="1" applyFill="1" applyBorder="1"/>
    <xf numFmtId="9" fontId="5" fillId="32" borderId="0" xfId="2" applyFont="1" applyFill="1" applyBorder="1"/>
    <xf numFmtId="9" fontId="5" fillId="32" borderId="16" xfId="2" applyFont="1" applyFill="1" applyBorder="1"/>
    <xf numFmtId="2" fontId="5" fillId="32" borderId="100" xfId="0" applyNumberFormat="1" applyFont="1" applyFill="1" applyBorder="1"/>
    <xf numFmtId="2" fontId="5" fillId="32" borderId="16" xfId="0" applyNumberFormat="1" applyFont="1" applyFill="1" applyBorder="1"/>
    <xf numFmtId="43" fontId="5" fillId="32" borderId="100" xfId="0" applyNumberFormat="1" applyFont="1" applyFill="1" applyBorder="1"/>
    <xf numFmtId="43" fontId="5" fillId="32" borderId="82" xfId="0" applyNumberFormat="1" applyFont="1" applyFill="1" applyBorder="1"/>
    <xf numFmtId="0" fontId="194" fillId="32" borderId="100" xfId="0" applyFont="1" applyFill="1" applyBorder="1"/>
    <xf numFmtId="43" fontId="5" fillId="32" borderId="9" xfId="1" applyFont="1" applyFill="1" applyBorder="1"/>
    <xf numFmtId="9" fontId="5" fillId="32" borderId="9" xfId="2" applyFont="1" applyFill="1" applyBorder="1"/>
    <xf numFmtId="2" fontId="5" fillId="32" borderId="9" xfId="0" applyNumberFormat="1" applyFont="1" applyFill="1" applyBorder="1"/>
    <xf numFmtId="43" fontId="5" fillId="32" borderId="9" xfId="0" applyNumberFormat="1" applyFont="1" applyFill="1" applyBorder="1"/>
    <xf numFmtId="43" fontId="5" fillId="32" borderId="15" xfId="0" applyNumberFormat="1" applyFont="1" applyFill="1" applyBorder="1"/>
    <xf numFmtId="2" fontId="5" fillId="32" borderId="0" xfId="0" applyNumberFormat="1" applyFont="1" applyFill="1"/>
    <xf numFmtId="0" fontId="246" fillId="32" borderId="59" xfId="0" applyFont="1" applyFill="1" applyBorder="1" applyAlignment="1">
      <alignment vertical="center" wrapText="1"/>
    </xf>
    <xf numFmtId="0" fontId="246" fillId="32" borderId="29" xfId="0" applyFont="1" applyFill="1" applyBorder="1" applyAlignment="1">
      <alignment horizontal="center" vertical="center" wrapText="1"/>
    </xf>
    <xf numFmtId="168" fontId="246" fillId="32" borderId="124" xfId="0" applyNumberFormat="1" applyFont="1" applyFill="1" applyBorder="1" applyAlignment="1">
      <alignment horizontal="center"/>
    </xf>
    <xf numFmtId="168" fontId="246" fillId="32" borderId="125" xfId="0" applyNumberFormat="1" applyFont="1" applyFill="1" applyBorder="1" applyAlignment="1">
      <alignment horizontal="center"/>
    </xf>
    <xf numFmtId="168" fontId="246" fillId="32" borderId="126" xfId="0" applyNumberFormat="1" applyFont="1" applyFill="1" applyBorder="1" applyAlignment="1">
      <alignment horizontal="center"/>
    </xf>
    <xf numFmtId="168" fontId="246" fillId="32" borderId="127" xfId="0" applyNumberFormat="1" applyFont="1" applyFill="1" applyBorder="1" applyAlignment="1">
      <alignment horizontal="center"/>
    </xf>
    <xf numFmtId="168" fontId="246" fillId="32" borderId="107" xfId="0" applyNumberFormat="1" applyFont="1" applyFill="1" applyBorder="1" applyAlignment="1">
      <alignment horizontal="center"/>
    </xf>
    <xf numFmtId="168" fontId="246" fillId="32" borderId="128" xfId="0" applyNumberFormat="1" applyFont="1" applyFill="1" applyBorder="1" applyAlignment="1">
      <alignment horizontal="center"/>
    </xf>
    <xf numFmtId="314" fontId="246" fillId="32" borderId="127" xfId="0" applyNumberFormat="1" applyFont="1" applyFill="1" applyBorder="1" applyAlignment="1">
      <alignment horizontal="center"/>
    </xf>
    <xf numFmtId="314" fontId="246" fillId="32" borderId="126" xfId="0" applyNumberFormat="1" applyFont="1" applyFill="1" applyBorder="1" applyAlignment="1">
      <alignment horizontal="center"/>
    </xf>
    <xf numFmtId="168" fontId="246" fillId="32" borderId="129" xfId="0" applyNumberFormat="1" applyFont="1" applyFill="1" applyBorder="1" applyAlignment="1">
      <alignment horizontal="center"/>
    </xf>
    <xf numFmtId="314" fontId="246" fillId="32" borderId="107" xfId="0" applyNumberFormat="1" applyFont="1" applyFill="1" applyBorder="1" applyAlignment="1">
      <alignment horizontal="center"/>
    </xf>
    <xf numFmtId="314" fontId="246" fillId="32" borderId="129" xfId="0" applyNumberFormat="1" applyFont="1" applyFill="1" applyBorder="1" applyAlignment="1">
      <alignment horizontal="center"/>
    </xf>
    <xf numFmtId="168" fontId="246" fillId="32" borderId="130" xfId="0" applyNumberFormat="1" applyFont="1" applyFill="1" applyBorder="1" applyAlignment="1">
      <alignment horizontal="center"/>
    </xf>
    <xf numFmtId="0" fontId="259" fillId="32" borderId="59" xfId="0" applyFont="1" applyFill="1" applyBorder="1" applyAlignment="1">
      <alignment horizontal="center" vertical="center" readingOrder="1"/>
    </xf>
    <xf numFmtId="0" fontId="259" fillId="32" borderId="0" xfId="0" applyFont="1" applyFill="1" applyAlignment="1">
      <alignment horizontal="center" vertical="center" readingOrder="1"/>
    </xf>
    <xf numFmtId="0" fontId="246" fillId="32" borderId="59" xfId="0" applyFont="1" applyFill="1" applyBorder="1" applyAlignment="1">
      <alignment horizontal="center" vertical="center" wrapText="1"/>
    </xf>
    <xf numFmtId="168" fontId="246" fillId="32" borderId="127" xfId="0" applyNumberFormat="1" applyFont="1" applyFill="1" applyBorder="1" applyAlignment="1">
      <alignment horizontal="center" vertical="center"/>
    </xf>
    <xf numFmtId="168" fontId="246" fillId="32" borderId="131" xfId="0" applyNumberFormat="1" applyFont="1" applyFill="1" applyBorder="1" applyAlignment="1">
      <alignment horizontal="center"/>
    </xf>
    <xf numFmtId="168" fontId="246" fillId="32" borderId="132" xfId="0" applyNumberFormat="1" applyFont="1" applyFill="1" applyBorder="1" applyAlignment="1">
      <alignment horizontal="center"/>
    </xf>
    <xf numFmtId="168" fontId="246" fillId="32" borderId="134" xfId="0" applyNumberFormat="1" applyFont="1" applyFill="1" applyBorder="1" applyAlignment="1">
      <alignment horizontal="center"/>
    </xf>
    <xf numFmtId="168" fontId="246" fillId="32" borderId="135" xfId="0" applyNumberFormat="1" applyFont="1" applyFill="1" applyBorder="1" applyAlignment="1">
      <alignment horizontal="center"/>
    </xf>
    <xf numFmtId="168" fontId="246" fillId="32" borderId="133" xfId="0" applyNumberFormat="1" applyFont="1" applyFill="1" applyBorder="1" applyAlignment="1">
      <alignment horizontal="center"/>
    </xf>
    <xf numFmtId="168" fontId="246" fillId="32" borderId="136" xfId="0" applyNumberFormat="1" applyFont="1" applyFill="1" applyBorder="1" applyAlignment="1">
      <alignment horizontal="center"/>
    </xf>
    <xf numFmtId="168" fontId="246" fillId="32" borderId="107" xfId="0" applyNumberFormat="1" applyFont="1" applyFill="1" applyBorder="1" applyAlignment="1">
      <alignment horizontal="center" vertical="center"/>
    </xf>
    <xf numFmtId="168" fontId="246" fillId="32" borderId="89" xfId="0" applyNumberFormat="1" applyFont="1" applyFill="1" applyBorder="1" applyAlignment="1">
      <alignment horizontal="center"/>
    </xf>
    <xf numFmtId="168" fontId="246" fillId="32" borderId="137" xfId="0" applyNumberFormat="1" applyFont="1" applyFill="1" applyBorder="1" applyAlignment="1">
      <alignment horizontal="center"/>
    </xf>
    <xf numFmtId="314" fontId="246" fillId="32" borderId="127" xfId="0" applyNumberFormat="1" applyFont="1" applyFill="1" applyBorder="1" applyAlignment="1">
      <alignment horizontal="center" vertical="center"/>
    </xf>
    <xf numFmtId="314" fontId="246" fillId="32" borderId="107" xfId="0" applyNumberFormat="1" applyFont="1" applyFill="1" applyBorder="1" applyAlignment="1">
      <alignment horizontal="center" vertical="center"/>
    </xf>
    <xf numFmtId="314" fontId="246" fillId="32" borderId="132" xfId="0" applyNumberFormat="1" applyFont="1" applyFill="1" applyBorder="1" applyAlignment="1">
      <alignment horizontal="center"/>
    </xf>
    <xf numFmtId="314" fontId="246" fillId="32" borderId="89" xfId="0" applyNumberFormat="1" applyFont="1" applyFill="1" applyBorder="1" applyAlignment="1">
      <alignment horizontal="center"/>
    </xf>
    <xf numFmtId="314" fontId="246" fillId="32" borderId="135" xfId="0" applyNumberFormat="1" applyFont="1" applyFill="1" applyBorder="1" applyAlignment="1">
      <alignment horizontal="center"/>
    </xf>
    <xf numFmtId="314" fontId="246" fillId="32" borderId="137" xfId="0" applyNumberFormat="1" applyFont="1" applyFill="1" applyBorder="1" applyAlignment="1">
      <alignment horizontal="center"/>
    </xf>
    <xf numFmtId="314" fontId="246" fillId="32" borderId="133" xfId="0" applyNumberFormat="1" applyFont="1" applyFill="1" applyBorder="1" applyAlignment="1">
      <alignment horizontal="center"/>
    </xf>
    <xf numFmtId="314" fontId="246" fillId="32" borderId="136" xfId="0" applyNumberFormat="1" applyFont="1" applyFill="1" applyBorder="1" applyAlignment="1">
      <alignment horizontal="center"/>
    </xf>
    <xf numFmtId="314" fontId="246" fillId="32" borderId="134" xfId="0" applyNumberFormat="1" applyFont="1" applyFill="1" applyBorder="1" applyAlignment="1">
      <alignment horizontal="center"/>
    </xf>
    <xf numFmtId="0" fontId="260" fillId="32" borderId="59" xfId="0" applyFont="1" applyFill="1" applyBorder="1" applyAlignment="1">
      <alignment horizontal="center" vertical="center" wrapText="1"/>
    </xf>
    <xf numFmtId="0" fontId="262" fillId="32" borderId="59" xfId="0" applyFont="1" applyFill="1" applyBorder="1" applyAlignment="1">
      <alignment horizontal="center" vertical="center" wrapText="1"/>
    </xf>
    <xf numFmtId="0" fontId="261" fillId="32" borderId="59" xfId="0" applyFont="1" applyFill="1" applyBorder="1" applyAlignment="1">
      <alignment horizontal="center" vertical="center" readingOrder="1"/>
    </xf>
    <xf numFmtId="10" fontId="260" fillId="32" borderId="138" xfId="0" applyNumberFormat="1" applyFont="1" applyFill="1" applyBorder="1" applyAlignment="1">
      <alignment horizontal="center"/>
    </xf>
    <xf numFmtId="10" fontId="260" fillId="32" borderId="139" xfId="0" applyNumberFormat="1" applyFont="1" applyFill="1" applyBorder="1" applyAlignment="1">
      <alignment horizontal="center"/>
    </xf>
    <xf numFmtId="10" fontId="260" fillId="32" borderId="141" xfId="0" applyNumberFormat="1" applyFont="1" applyFill="1" applyBorder="1" applyAlignment="1">
      <alignment horizontal="center"/>
    </xf>
    <xf numFmtId="10" fontId="260" fillId="32" borderId="142" xfId="0" applyNumberFormat="1" applyFont="1" applyFill="1" applyBorder="1" applyAlignment="1">
      <alignment horizontal="center"/>
    </xf>
    <xf numFmtId="10" fontId="260" fillId="32" borderId="144" xfId="0" applyNumberFormat="1" applyFont="1" applyFill="1" applyBorder="1" applyAlignment="1">
      <alignment horizontal="center"/>
    </xf>
    <xf numFmtId="10" fontId="260" fillId="32" borderId="145" xfId="0" applyNumberFormat="1" applyFont="1" applyFill="1" applyBorder="1" applyAlignment="1">
      <alignment horizontal="center"/>
    </xf>
    <xf numFmtId="10" fontId="260" fillId="32" borderId="140" xfId="0" applyNumberFormat="1" applyFont="1" applyFill="1" applyBorder="1" applyAlignment="1">
      <alignment horizontal="center"/>
    </xf>
    <xf numFmtId="10" fontId="260" fillId="32" borderId="143" xfId="0" applyNumberFormat="1" applyFont="1" applyFill="1" applyBorder="1" applyAlignment="1">
      <alignment horizontal="center"/>
    </xf>
    <xf numFmtId="10" fontId="260" fillId="32" borderId="146" xfId="0" applyNumberFormat="1" applyFont="1" applyFill="1" applyBorder="1" applyAlignment="1">
      <alignment horizontal="center"/>
    </xf>
    <xf numFmtId="9" fontId="260" fillId="32" borderId="141" xfId="0" applyNumberFormat="1" applyFont="1" applyFill="1" applyBorder="1" applyAlignment="1">
      <alignment horizontal="center"/>
    </xf>
    <xf numFmtId="9" fontId="260" fillId="32" borderId="142" xfId="0" applyNumberFormat="1" applyFont="1" applyFill="1" applyBorder="1" applyAlignment="1">
      <alignment horizontal="center"/>
    </xf>
    <xf numFmtId="9" fontId="260" fillId="32" borderId="144" xfId="0" applyNumberFormat="1" applyFont="1" applyFill="1" applyBorder="1" applyAlignment="1">
      <alignment horizontal="center"/>
    </xf>
    <xf numFmtId="9" fontId="260" fillId="32" borderId="145" xfId="0" applyNumberFormat="1" applyFont="1" applyFill="1" applyBorder="1" applyAlignment="1">
      <alignment horizontal="center"/>
    </xf>
    <xf numFmtId="9" fontId="260" fillId="32" borderId="143" xfId="0" applyNumberFormat="1" applyFont="1" applyFill="1" applyBorder="1" applyAlignment="1">
      <alignment horizontal="center"/>
    </xf>
    <xf numFmtId="9" fontId="260" fillId="32" borderId="146" xfId="0" applyNumberFormat="1" applyFont="1" applyFill="1" applyBorder="1" applyAlignment="1">
      <alignment horizontal="center"/>
    </xf>
    <xf numFmtId="314" fontId="260" fillId="32" borderId="138" xfId="0" applyNumberFormat="1" applyFont="1" applyFill="1" applyBorder="1" applyAlignment="1">
      <alignment horizontal="center"/>
    </xf>
    <xf numFmtId="314" fontId="260" fillId="32" borderId="139" xfId="0" applyNumberFormat="1" applyFont="1" applyFill="1" applyBorder="1" applyAlignment="1">
      <alignment horizontal="center"/>
    </xf>
    <xf numFmtId="314" fontId="260" fillId="32" borderId="141" xfId="0" applyNumberFormat="1" applyFont="1" applyFill="1" applyBorder="1" applyAlignment="1">
      <alignment horizontal="center"/>
    </xf>
    <xf numFmtId="314" fontId="260" fillId="32" borderId="142" xfId="0" applyNumberFormat="1" applyFont="1" applyFill="1" applyBorder="1" applyAlignment="1">
      <alignment horizontal="center"/>
    </xf>
    <xf numFmtId="314" fontId="260" fillId="32" borderId="144" xfId="0" applyNumberFormat="1" applyFont="1" applyFill="1" applyBorder="1" applyAlignment="1">
      <alignment horizontal="center"/>
    </xf>
    <xf numFmtId="314" fontId="260" fillId="32" borderId="145" xfId="0" applyNumberFormat="1" applyFont="1" applyFill="1" applyBorder="1" applyAlignment="1">
      <alignment horizontal="center"/>
    </xf>
    <xf numFmtId="314" fontId="260" fillId="32" borderId="140" xfId="0" applyNumberFormat="1" applyFont="1" applyFill="1" applyBorder="1" applyAlignment="1">
      <alignment horizontal="center"/>
    </xf>
    <xf numFmtId="314" fontId="260" fillId="32" borderId="143" xfId="0" applyNumberFormat="1" applyFont="1" applyFill="1" applyBorder="1" applyAlignment="1">
      <alignment horizontal="center"/>
    </xf>
    <xf numFmtId="314" fontId="260" fillId="32" borderId="146" xfId="0" applyNumberFormat="1" applyFont="1" applyFill="1" applyBorder="1" applyAlignment="1">
      <alignment horizontal="center"/>
    </xf>
    <xf numFmtId="9" fontId="260" fillId="32" borderId="138" xfId="2" applyFont="1" applyFill="1" applyBorder="1" applyAlignment="1">
      <alignment horizontal="center"/>
    </xf>
    <xf numFmtId="9" fontId="260" fillId="32" borderId="139" xfId="2" applyFont="1" applyFill="1" applyBorder="1" applyAlignment="1">
      <alignment horizontal="center"/>
    </xf>
    <xf numFmtId="9" fontId="260" fillId="32" borderId="141" xfId="2" applyFont="1" applyFill="1" applyBorder="1" applyAlignment="1">
      <alignment horizontal="center"/>
    </xf>
    <xf numFmtId="9" fontId="260" fillId="32" borderId="142" xfId="2" applyFont="1" applyFill="1" applyBorder="1" applyAlignment="1">
      <alignment horizontal="center"/>
    </xf>
    <xf numFmtId="9" fontId="260" fillId="32" borderId="144" xfId="2" applyFont="1" applyFill="1" applyBorder="1" applyAlignment="1">
      <alignment horizontal="center"/>
    </xf>
    <xf numFmtId="9" fontId="260" fillId="32" borderId="145" xfId="2" applyFont="1" applyFill="1" applyBorder="1" applyAlignment="1">
      <alignment horizontal="center"/>
    </xf>
    <xf numFmtId="9" fontId="260" fillId="32" borderId="140" xfId="2" applyFont="1" applyFill="1" applyBorder="1" applyAlignment="1">
      <alignment horizontal="center"/>
    </xf>
    <xf numFmtId="9" fontId="260" fillId="32" borderId="143" xfId="2" applyFont="1" applyFill="1" applyBorder="1" applyAlignment="1">
      <alignment horizontal="center"/>
    </xf>
    <xf numFmtId="9" fontId="260" fillId="32" borderId="146" xfId="2" applyFont="1" applyFill="1" applyBorder="1" applyAlignment="1">
      <alignment horizontal="center"/>
    </xf>
    <xf numFmtId="0" fontId="89" fillId="32" borderId="7" xfId="0" applyFont="1" applyFill="1" applyBorder="1" applyAlignment="1"/>
    <xf numFmtId="317" fontId="265" fillId="32" borderId="0" xfId="755" applyNumberFormat="1" applyFont="1" applyFill="1" applyBorder="1"/>
    <xf numFmtId="0" fontId="89" fillId="32" borderId="38" xfId="0" applyFont="1" applyFill="1" applyBorder="1" applyAlignment="1">
      <alignment wrapText="1"/>
    </xf>
    <xf numFmtId="0" fontId="89" fillId="32" borderId="64" xfId="0" applyFont="1" applyFill="1" applyBorder="1" applyAlignment="1">
      <alignment wrapText="1"/>
    </xf>
    <xf numFmtId="0" fontId="89" fillId="32" borderId="63" xfId="0" applyFont="1" applyFill="1" applyBorder="1" applyAlignment="1">
      <alignment wrapText="1"/>
    </xf>
    <xf numFmtId="0" fontId="89" fillId="32" borderId="12" xfId="0" applyFont="1" applyFill="1" applyBorder="1" applyAlignment="1">
      <alignment wrapText="1"/>
    </xf>
    <xf numFmtId="0" fontId="89" fillId="32" borderId="29" xfId="0" applyFont="1" applyFill="1" applyBorder="1" applyAlignment="1">
      <alignment wrapText="1"/>
    </xf>
    <xf numFmtId="321" fontId="89" fillId="32" borderId="29" xfId="1" applyNumberFormat="1" applyFont="1" applyFill="1" applyBorder="1" applyAlignment="1">
      <alignment wrapText="1"/>
    </xf>
    <xf numFmtId="0" fontId="5" fillId="5" borderId="0" xfId="0" applyFont="1" applyFill="1" applyBorder="1" applyAlignment="1" applyProtection="1"/>
    <xf numFmtId="0" fontId="7" fillId="5" borderId="0" xfId="0" applyFont="1" applyFill="1" applyProtection="1"/>
    <xf numFmtId="0" fontId="6" fillId="5" borderId="0" xfId="0" applyFont="1" applyFill="1" applyAlignment="1">
      <alignment vertical="center" wrapText="1"/>
    </xf>
    <xf numFmtId="43" fontId="96" fillId="5" borderId="0" xfId="0" applyNumberFormat="1" applyFont="1" applyFill="1"/>
    <xf numFmtId="0" fontId="94" fillId="5" borderId="22" xfId="4" applyFont="1" applyFill="1" applyBorder="1"/>
    <xf numFmtId="0" fontId="94" fillId="5" borderId="36" xfId="4" applyFont="1" applyFill="1" applyBorder="1"/>
    <xf numFmtId="0" fontId="275" fillId="31" borderId="25" xfId="0" applyFont="1" applyFill="1" applyBorder="1"/>
    <xf numFmtId="0" fontId="28" fillId="31" borderId="43" xfId="0" applyFont="1" applyFill="1" applyBorder="1"/>
    <xf numFmtId="0" fontId="275" fillId="31" borderId="27" xfId="0" applyFont="1" applyFill="1" applyBorder="1"/>
    <xf numFmtId="0" fontId="275" fillId="31" borderId="43" xfId="0" applyFont="1" applyFill="1" applyBorder="1"/>
    <xf numFmtId="0" fontId="9" fillId="31" borderId="23" xfId="0" applyFont="1" applyFill="1" applyBorder="1" applyAlignment="1"/>
    <xf numFmtId="0" fontId="9" fillId="31" borderId="59" xfId="0" applyFont="1" applyFill="1" applyBorder="1" applyAlignment="1"/>
    <xf numFmtId="168" fontId="91" fillId="31" borderId="29" xfId="0" applyNumberFormat="1" applyFont="1" applyFill="1" applyBorder="1"/>
    <xf numFmtId="0" fontId="2" fillId="0" borderId="44" xfId="0" applyFont="1" applyFill="1" applyBorder="1"/>
    <xf numFmtId="0" fontId="2" fillId="0" borderId="46" xfId="0" applyFont="1" applyFill="1" applyBorder="1"/>
    <xf numFmtId="0" fontId="2" fillId="0" borderId="45" xfId="0" applyFont="1" applyFill="1" applyBorder="1"/>
    <xf numFmtId="0" fontId="2" fillId="0" borderId="47" xfId="0" applyFont="1" applyFill="1" applyBorder="1"/>
    <xf numFmtId="0" fontId="2" fillId="0" borderId="4" xfId="0" applyFont="1" applyFill="1" applyBorder="1"/>
    <xf numFmtId="0" fontId="2" fillId="0" borderId="30" xfId="0" applyFont="1" applyFill="1" applyBorder="1"/>
    <xf numFmtId="0" fontId="2" fillId="0" borderId="34" xfId="0" applyFont="1" applyFill="1" applyBorder="1"/>
    <xf numFmtId="0" fontId="9" fillId="0" borderId="41" xfId="0" applyFont="1" applyFill="1" applyBorder="1"/>
    <xf numFmtId="0" fontId="9" fillId="0" borderId="39" xfId="0" applyFont="1" applyFill="1" applyBorder="1"/>
    <xf numFmtId="0" fontId="0" fillId="0" borderId="39" xfId="0" applyFill="1" applyBorder="1"/>
    <xf numFmtId="0" fontId="9" fillId="0" borderId="52" xfId="0" applyFont="1" applyFill="1" applyBorder="1"/>
    <xf numFmtId="0" fontId="0" fillId="0" borderId="40" xfId="0" applyFill="1" applyBorder="1"/>
    <xf numFmtId="2" fontId="2" fillId="0" borderId="41" xfId="0" applyNumberFormat="1" applyFont="1" applyFill="1" applyBorder="1"/>
    <xf numFmtId="2" fontId="2" fillId="0" borderId="53" xfId="0" applyNumberFormat="1" applyFont="1" applyFill="1" applyBorder="1"/>
    <xf numFmtId="0" fontId="0" fillId="0" borderId="0" xfId="0" applyBorder="1"/>
    <xf numFmtId="0" fontId="9" fillId="0" borderId="0" xfId="0" applyFont="1" applyBorder="1"/>
    <xf numFmtId="0" fontId="6" fillId="0" borderId="114" xfId="714" applyFont="1" applyFill="1" applyBorder="1"/>
    <xf numFmtId="0" fontId="6" fillId="5" borderId="22" xfId="714" applyFont="1" applyFill="1" applyBorder="1" applyAlignment="1"/>
    <xf numFmtId="0" fontId="6" fillId="5" borderId="23" xfId="714" applyFont="1" applyFill="1" applyBorder="1"/>
    <xf numFmtId="168" fontId="6" fillId="5" borderId="29" xfId="714" applyNumberFormat="1" applyFont="1" applyFill="1" applyBorder="1"/>
    <xf numFmtId="0" fontId="6" fillId="5" borderId="30" xfId="714" applyFont="1" applyFill="1" applyBorder="1"/>
    <xf numFmtId="0" fontId="6" fillId="5" borderId="34" xfId="714" applyFont="1" applyFill="1" applyBorder="1"/>
    <xf numFmtId="2" fontId="6" fillId="5" borderId="35" xfId="714" applyNumberFormat="1" applyFont="1" applyFill="1" applyBorder="1"/>
    <xf numFmtId="2" fontId="6" fillId="5" borderId="36" xfId="714" applyNumberFormat="1" applyFont="1" applyFill="1" applyBorder="1"/>
    <xf numFmtId="2" fontId="6" fillId="5" borderId="41" xfId="714" applyNumberFormat="1" applyFont="1" applyFill="1" applyBorder="1"/>
    <xf numFmtId="2" fontId="6" fillId="5" borderId="42" xfId="714" applyNumberFormat="1" applyFont="1" applyFill="1" applyBorder="1"/>
    <xf numFmtId="2" fontId="6" fillId="5" borderId="48" xfId="714" applyNumberFormat="1" applyFont="1" applyFill="1" applyBorder="1"/>
    <xf numFmtId="2" fontId="4" fillId="5" borderId="6" xfId="714" applyNumberFormat="1" applyFont="1" applyFill="1" applyBorder="1"/>
    <xf numFmtId="2" fontId="4" fillId="5" borderId="50" xfId="714" applyNumberFormat="1" applyFont="1" applyFill="1" applyBorder="1"/>
    <xf numFmtId="2" fontId="6" fillId="5" borderId="53" xfId="714" applyNumberFormat="1" applyFont="1" applyFill="1" applyBorder="1"/>
    <xf numFmtId="0" fontId="44" fillId="5" borderId="114" xfId="714" applyFont="1" applyFill="1" applyBorder="1"/>
    <xf numFmtId="0" fontId="44" fillId="5" borderId="54" xfId="714" applyFont="1" applyFill="1" applyBorder="1"/>
    <xf numFmtId="2" fontId="6" fillId="5" borderId="155" xfId="714" applyNumberFormat="1" applyFont="1" applyFill="1" applyBorder="1"/>
    <xf numFmtId="2" fontId="6" fillId="5" borderId="156" xfId="714" applyNumberFormat="1" applyFont="1" applyFill="1" applyBorder="1"/>
    <xf numFmtId="2" fontId="6" fillId="5" borderId="114" xfId="714" applyNumberFormat="1" applyFont="1" applyFill="1" applyBorder="1"/>
    <xf numFmtId="2" fontId="6" fillId="5" borderId="50" xfId="714" applyNumberFormat="1" applyFont="1" applyFill="1" applyBorder="1"/>
    <xf numFmtId="2" fontId="2" fillId="5" borderId="41" xfId="0" applyNumberFormat="1" applyFont="1" applyFill="1" applyBorder="1"/>
    <xf numFmtId="2" fontId="2" fillId="5" borderId="42" xfId="0" applyNumberFormat="1" applyFont="1" applyFill="1" applyBorder="1"/>
    <xf numFmtId="0" fontId="89" fillId="32" borderId="0" xfId="0" applyFont="1" applyFill="1" applyBorder="1" applyAlignment="1">
      <alignment wrapText="1"/>
    </xf>
    <xf numFmtId="0" fontId="5" fillId="34" borderId="108" xfId="0" applyFont="1" applyFill="1" applyBorder="1"/>
    <xf numFmtId="0" fontId="5" fillId="34" borderId="108" xfId="0" applyFont="1" applyFill="1" applyBorder="1" applyAlignment="1">
      <alignment wrapText="1"/>
    </xf>
    <xf numFmtId="0" fontId="5" fillId="32" borderId="119" xfId="0" applyFont="1" applyFill="1" applyBorder="1"/>
    <xf numFmtId="0" fontId="5" fillId="32" borderId="108" xfId="0" applyFont="1" applyFill="1" applyBorder="1"/>
    <xf numFmtId="0" fontId="5" fillId="32" borderId="152" xfId="0" applyFont="1" applyFill="1" applyBorder="1" applyAlignment="1">
      <alignment wrapText="1"/>
    </xf>
    <xf numFmtId="0" fontId="89" fillId="32" borderId="119" xfId="0" applyFont="1" applyFill="1" applyBorder="1" applyAlignment="1">
      <alignment wrapText="1"/>
    </xf>
    <xf numFmtId="0" fontId="89" fillId="32" borderId="108" xfId="0" applyFont="1" applyFill="1" applyBorder="1" applyAlignment="1">
      <alignment wrapText="1"/>
    </xf>
    <xf numFmtId="0" fontId="89" fillId="32" borderId="152" xfId="0" applyFont="1" applyFill="1" applyBorder="1" applyAlignment="1">
      <alignment wrapText="1"/>
    </xf>
    <xf numFmtId="43" fontId="89" fillId="0" borderId="0" xfId="1" applyNumberFormat="1" applyFont="1" applyBorder="1"/>
    <xf numFmtId="43" fontId="5" fillId="0" borderId="0" xfId="0" applyNumberFormat="1" applyFont="1" applyBorder="1"/>
    <xf numFmtId="2" fontId="5" fillId="32" borderId="4" xfId="0" applyNumberFormat="1" applyFont="1" applyFill="1" applyBorder="1"/>
    <xf numFmtId="43" fontId="5" fillId="0" borderId="45" xfId="1" applyNumberFormat="1" applyFont="1" applyBorder="1"/>
    <xf numFmtId="0" fontId="2" fillId="13" borderId="24" xfId="7310" applyFont="1" applyFill="1" applyBorder="1" applyAlignment="1">
      <alignment horizontal="center" wrapText="1"/>
    </xf>
    <xf numFmtId="0" fontId="0" fillId="0" borderId="23" xfId="0" applyBorder="1" applyAlignment="1">
      <alignment horizontal="center"/>
    </xf>
    <xf numFmtId="0" fontId="0" fillId="0" borderId="37" xfId="0" applyBorder="1" applyAlignment="1">
      <alignment horizontal="center"/>
    </xf>
    <xf numFmtId="0" fontId="0" fillId="0" borderId="51" xfId="0" applyBorder="1" applyAlignment="1">
      <alignment horizontal="center"/>
    </xf>
    <xf numFmtId="0" fontId="0" fillId="0" borderId="153" xfId="0" applyBorder="1" applyAlignment="1">
      <alignment horizontal="center"/>
    </xf>
    <xf numFmtId="0" fontId="0" fillId="0" borderId="154" xfId="0" applyBorder="1" applyAlignment="1">
      <alignment horizontal="center"/>
    </xf>
    <xf numFmtId="0" fontId="5" fillId="0" borderId="0" xfId="0" applyFont="1" applyAlignment="1">
      <alignment wrapText="1"/>
    </xf>
    <xf numFmtId="0" fontId="0" fillId="0" borderId="0" xfId="0" applyAlignment="1"/>
    <xf numFmtId="0" fontId="0" fillId="0" borderId="0" xfId="0" applyFill="1" applyBorder="1" applyAlignment="1">
      <alignment horizontal="left" wrapText="1"/>
    </xf>
    <xf numFmtId="0" fontId="44" fillId="31" borderId="28" xfId="714" applyFont="1" applyFill="1" applyBorder="1" applyAlignment="1">
      <alignment horizontal="left" wrapText="1"/>
    </xf>
    <xf numFmtId="0" fontId="44" fillId="31" borderId="23" xfId="714" applyFont="1" applyFill="1" applyBorder="1" applyAlignment="1">
      <alignment horizontal="left" wrapText="1"/>
    </xf>
    <xf numFmtId="0" fontId="198" fillId="0" borderId="0" xfId="714" applyFont="1" applyBorder="1" applyAlignment="1">
      <alignment horizontal="left" wrapText="1"/>
    </xf>
    <xf numFmtId="0" fontId="44" fillId="0" borderId="0" xfId="714" applyFont="1" applyBorder="1" applyAlignment="1">
      <alignment wrapText="1"/>
    </xf>
    <xf numFmtId="0" fontId="44" fillId="31" borderId="26" xfId="714" applyFont="1" applyFill="1" applyBorder="1" applyAlignment="1">
      <alignment horizontal="left" wrapText="1"/>
    </xf>
    <xf numFmtId="0" fontId="44" fillId="31" borderId="23" xfId="714" applyFont="1" applyFill="1" applyBorder="1" applyAlignment="1"/>
    <xf numFmtId="0" fontId="198" fillId="0" borderId="0" xfId="714" applyFont="1" applyBorder="1" applyAlignment="1">
      <alignment wrapText="1"/>
    </xf>
    <xf numFmtId="0" fontId="195" fillId="31" borderId="28" xfId="714" applyFont="1" applyFill="1" applyBorder="1" applyAlignment="1">
      <alignment horizontal="left" wrapText="1"/>
    </xf>
    <xf numFmtId="0" fontId="195" fillId="31" borderId="23" xfId="714" applyFont="1" applyFill="1" applyBorder="1" applyAlignment="1"/>
    <xf numFmtId="0" fontId="197" fillId="0" borderId="0" xfId="714" applyFont="1" applyBorder="1" applyAlignment="1">
      <alignment wrapText="1"/>
    </xf>
    <xf numFmtId="0" fontId="44" fillId="0" borderId="0" xfId="714" applyFont="1" applyBorder="1" applyAlignment="1"/>
    <xf numFmtId="0" fontId="5" fillId="0" borderId="5" xfId="0" applyFont="1" applyBorder="1" applyAlignment="1">
      <alignment horizontal="center"/>
    </xf>
    <xf numFmtId="0" fontId="5" fillId="0" borderId="8" xfId="0" applyFont="1" applyBorder="1" applyAlignment="1">
      <alignment horizontal="center"/>
    </xf>
    <xf numFmtId="0" fontId="5" fillId="0" borderId="7" xfId="0" applyFont="1" applyBorder="1" applyAlignment="1">
      <alignment horizontal="center"/>
    </xf>
    <xf numFmtId="0" fontId="5" fillId="32" borderId="5" xfId="0" applyFont="1" applyFill="1" applyBorder="1" applyAlignment="1"/>
    <xf numFmtId="0" fontId="5" fillId="32" borderId="7" xfId="0" applyFont="1" applyFill="1" applyBorder="1" applyAlignment="1"/>
    <xf numFmtId="0" fontId="89" fillId="34" borderId="57" xfId="0" applyFont="1" applyFill="1" applyBorder="1" applyAlignment="1">
      <alignment horizontal="center"/>
    </xf>
    <xf numFmtId="0" fontId="89" fillId="34" borderId="65" xfId="0" applyFont="1" applyFill="1" applyBorder="1" applyAlignment="1">
      <alignment horizontal="center"/>
    </xf>
    <xf numFmtId="0" fontId="89" fillId="35" borderId="5" xfId="0" applyFont="1" applyFill="1" applyBorder="1" applyAlignment="1">
      <alignment horizontal="center"/>
    </xf>
    <xf numFmtId="0" fontId="89" fillId="35" borderId="8" xfId="0" applyFont="1" applyFill="1" applyBorder="1" applyAlignment="1">
      <alignment horizontal="center"/>
    </xf>
    <xf numFmtId="0" fontId="89" fillId="33" borderId="57" xfId="0" applyFont="1" applyFill="1" applyBorder="1" applyAlignment="1">
      <alignment horizontal="center"/>
    </xf>
    <xf numFmtId="0" fontId="89" fillId="33" borderId="65" xfId="0" applyFont="1" applyFill="1" applyBorder="1" applyAlignment="1">
      <alignment horizontal="center"/>
    </xf>
    <xf numFmtId="0" fontId="89" fillId="33" borderId="66" xfId="0" applyFont="1" applyFill="1" applyBorder="1" applyAlignment="1">
      <alignment horizontal="center"/>
    </xf>
    <xf numFmtId="0" fontId="5" fillId="37" borderId="5" xfId="0" applyFont="1" applyFill="1" applyBorder="1" applyAlignment="1">
      <alignment horizontal="center"/>
    </xf>
    <xf numFmtId="0" fontId="0" fillId="37" borderId="8" xfId="0" applyFill="1" applyBorder="1" applyAlignment="1">
      <alignment horizontal="center"/>
    </xf>
    <xf numFmtId="0" fontId="0" fillId="37" borderId="7" xfId="0" applyFill="1" applyBorder="1" applyAlignment="1"/>
    <xf numFmtId="0" fontId="5" fillId="35" borderId="5" xfId="0" applyFont="1" applyFill="1" applyBorder="1" applyAlignment="1">
      <alignment horizontal="center"/>
    </xf>
    <xf numFmtId="0" fontId="0" fillId="35" borderId="8" xfId="0" applyFill="1" applyBorder="1" applyAlignment="1">
      <alignment horizontal="center"/>
    </xf>
    <xf numFmtId="0" fontId="0" fillId="35" borderId="7" xfId="0" applyFill="1" applyBorder="1" applyAlignment="1"/>
    <xf numFmtId="0" fontId="5" fillId="0" borderId="5" xfId="0" applyFont="1" applyBorder="1" applyAlignment="1"/>
    <xf numFmtId="0" fontId="0" fillId="0" borderId="8" xfId="0" applyBorder="1" applyAlignment="1"/>
    <xf numFmtId="0" fontId="0" fillId="0" borderId="8" xfId="0" applyBorder="1" applyAlignment="1">
      <alignment horizontal="center"/>
    </xf>
    <xf numFmtId="0" fontId="0" fillId="0" borderId="7" xfId="0" applyBorder="1" applyAlignment="1">
      <alignment horizontal="center"/>
    </xf>
    <xf numFmtId="0" fontId="5" fillId="0" borderId="67" xfId="0" applyFont="1" applyBorder="1" applyAlignment="1">
      <alignment horizontal="center"/>
    </xf>
    <xf numFmtId="0" fontId="0" fillId="0" borderId="4" xfId="0" applyBorder="1" applyAlignment="1">
      <alignment horizontal="center"/>
    </xf>
    <xf numFmtId="0" fontId="0" fillId="0" borderId="45" xfId="0" applyBorder="1" applyAlignment="1">
      <alignment horizontal="center"/>
    </xf>
    <xf numFmtId="0" fontId="5" fillId="36" borderId="5" xfId="0" applyFont="1" applyFill="1" applyBorder="1" applyAlignment="1">
      <alignment horizontal="center"/>
    </xf>
    <xf numFmtId="0" fontId="0" fillId="36" borderId="8" xfId="0" applyFill="1" applyBorder="1" applyAlignment="1">
      <alignment horizontal="center"/>
    </xf>
    <xf numFmtId="0" fontId="0" fillId="36" borderId="7" xfId="0" applyFill="1" applyBorder="1" applyAlignment="1">
      <alignment horizontal="center"/>
    </xf>
    <xf numFmtId="0" fontId="0" fillId="0" borderId="7" xfId="0" applyBorder="1" applyAlignment="1"/>
    <xf numFmtId="0" fontId="89" fillId="0" borderId="24" xfId="0" applyFont="1" applyBorder="1" applyAlignment="1">
      <alignment horizontal="center"/>
    </xf>
    <xf numFmtId="0" fontId="89" fillId="0" borderId="26" xfId="0" applyFont="1" applyBorder="1" applyAlignment="1">
      <alignment horizontal="center"/>
    </xf>
    <xf numFmtId="0" fontId="5" fillId="0" borderId="23" xfId="0" applyFont="1" applyBorder="1" applyAlignment="1"/>
    <xf numFmtId="0" fontId="5" fillId="0" borderId="26" xfId="0" applyFont="1" applyBorder="1" applyAlignment="1"/>
    <xf numFmtId="0" fontId="89" fillId="0" borderId="63" xfId="0" applyFont="1" applyBorder="1" applyAlignment="1">
      <alignment horizontal="center"/>
    </xf>
    <xf numFmtId="0" fontId="89" fillId="0" borderId="12" xfId="0" applyFont="1" applyBorder="1" applyAlignment="1">
      <alignment horizontal="center"/>
    </xf>
    <xf numFmtId="0" fontId="0" fillId="0" borderId="29" xfId="0" applyBorder="1" applyAlignment="1">
      <alignment horizontal="center"/>
    </xf>
    <xf numFmtId="0" fontId="89" fillId="32" borderId="63" xfId="0" applyFont="1" applyFill="1" applyBorder="1" applyAlignment="1">
      <alignment horizontal="center"/>
    </xf>
    <xf numFmtId="0" fontId="97" fillId="32" borderId="29" xfId="0" applyFont="1" applyFill="1" applyBorder="1" applyAlignment="1">
      <alignment horizontal="center"/>
    </xf>
    <xf numFmtId="0" fontId="97" fillId="32" borderId="12" xfId="0" applyFont="1" applyFill="1" applyBorder="1" applyAlignment="1">
      <alignment horizontal="center"/>
    </xf>
    <xf numFmtId="0" fontId="207" fillId="146" borderId="63" xfId="0" applyFont="1" applyFill="1" applyBorder="1" applyAlignment="1">
      <alignment horizontal="center" vertical="center" wrapText="1"/>
    </xf>
    <xf numFmtId="0" fontId="207" fillId="146" borderId="12" xfId="0" applyFont="1" applyFill="1" applyBorder="1" applyAlignment="1">
      <alignment horizontal="center" vertical="center" wrapText="1"/>
    </xf>
    <xf numFmtId="0" fontId="207" fillId="146" borderId="29" xfId="0" applyFont="1" applyFill="1" applyBorder="1" applyAlignment="1">
      <alignment horizontal="center" vertical="center" wrapText="1"/>
    </xf>
    <xf numFmtId="0" fontId="256" fillId="32" borderId="63" xfId="0" applyFont="1" applyFill="1" applyBorder="1" applyAlignment="1">
      <alignment horizontal="center"/>
    </xf>
    <xf numFmtId="0" fontId="256" fillId="32" borderId="12" xfId="0" applyFont="1" applyFill="1" applyBorder="1" applyAlignment="1">
      <alignment horizontal="center"/>
    </xf>
    <xf numFmtId="0" fontId="256" fillId="32" borderId="29" xfId="0" applyFont="1" applyFill="1" applyBorder="1" applyAlignment="1">
      <alignment horizontal="center"/>
    </xf>
    <xf numFmtId="0" fontId="257" fillId="32" borderId="63" xfId="0" applyFont="1" applyFill="1" applyBorder="1" applyAlignment="1">
      <alignment horizontal="left"/>
    </xf>
    <xf numFmtId="0" fontId="257" fillId="32" borderId="29" xfId="0" applyFont="1" applyFill="1" applyBorder="1" applyAlignment="1">
      <alignment horizontal="left"/>
    </xf>
    <xf numFmtId="0" fontId="258" fillId="32" borderId="63" xfId="0" applyFont="1" applyFill="1" applyBorder="1" applyAlignment="1">
      <alignment horizontal="center" vertical="center" wrapText="1"/>
    </xf>
    <xf numFmtId="0" fontId="258" fillId="32" borderId="12" xfId="0" applyFont="1" applyFill="1" applyBorder="1" applyAlignment="1">
      <alignment horizontal="center" vertical="center" wrapText="1"/>
    </xf>
    <xf numFmtId="0" fontId="258" fillId="32" borderId="29" xfId="0" applyFont="1" applyFill="1" applyBorder="1" applyAlignment="1">
      <alignment horizontal="center" vertical="center" wrapText="1"/>
    </xf>
    <xf numFmtId="0" fontId="258" fillId="32" borderId="63" xfId="0" applyFont="1" applyFill="1" applyBorder="1" applyAlignment="1">
      <alignment horizontal="left"/>
    </xf>
    <xf numFmtId="0" fontId="258" fillId="32" borderId="29" xfId="0" applyFont="1" applyFill="1" applyBorder="1" applyAlignment="1">
      <alignment horizontal="left"/>
    </xf>
    <xf numFmtId="0" fontId="96" fillId="0" borderId="0" xfId="0" applyFont="1" applyFill="1"/>
    <xf numFmtId="2" fontId="96" fillId="0" borderId="0" xfId="0" applyNumberFormat="1" applyFont="1" applyFill="1"/>
    <xf numFmtId="317" fontId="9" fillId="0" borderId="36" xfId="755" applyNumberFormat="1" applyFont="1" applyFill="1" applyBorder="1"/>
    <xf numFmtId="44" fontId="5" fillId="0" borderId="0" xfId="7309" applyFont="1" applyFill="1"/>
    <xf numFmtId="0" fontId="89" fillId="0" borderId="8" xfId="0" applyFont="1" applyFill="1" applyBorder="1" applyAlignment="1">
      <alignment wrapText="1"/>
    </xf>
    <xf numFmtId="0" fontId="89" fillId="0" borderId="0" xfId="0" applyFont="1" applyFill="1" applyAlignment="1">
      <alignment wrapText="1"/>
    </xf>
    <xf numFmtId="0" fontId="89" fillId="0" borderId="114" xfId="0" applyFont="1" applyFill="1" applyBorder="1" applyAlignment="1">
      <alignment wrapText="1"/>
    </xf>
  </cellXfs>
  <cellStyles count="7329">
    <cellStyle name=" 1" xfId="759"/>
    <cellStyle name=" 1 2" xfId="3934"/>
    <cellStyle name="_x000d__x000a_JournalTemplate=C:\COMFO\CTALK\JOURSTD.TPL_x000d__x000a_LbStateAddress=3 3 0 251 1 89 2 311_x000d__x000a_LbStateJou" xfId="760"/>
    <cellStyle name="%" xfId="12"/>
    <cellStyle name="% 2" xfId="761"/>
    <cellStyle name="% 2 2" xfId="762"/>
    <cellStyle name="% 2 3" xfId="3935"/>
    <cellStyle name="% 3" xfId="763"/>
    <cellStyle name="% 3 2" xfId="764"/>
    <cellStyle name="% 3 3" xfId="3936"/>
    <cellStyle name="% 4" xfId="765"/>
    <cellStyle name="% 4 2" xfId="3937"/>
    <cellStyle name="% 5" xfId="766"/>
    <cellStyle name="% 5 2" xfId="3938"/>
    <cellStyle name="% 6" xfId="3939"/>
    <cellStyle name="%_090909 GTN - ZM master_update-GTN" xfId="767"/>
    <cellStyle name="%_090909 GTN - ZM master_update-GTN_Menucard_Staff_Master_2010-09-12" xfId="768"/>
    <cellStyle name="%_091019 menucard Kassier per RE release 4 aanp int" xfId="3940"/>
    <cellStyle name="%_091019 menucard Kassier per RE release 4 aanp int 2" xfId="3941"/>
    <cellStyle name="%_091019 menucard Kassier per RE release 4 aanp int 2 2" xfId="3942"/>
    <cellStyle name="%_091019 menucard Kassier per RE release 4 aanp int 3" xfId="3943"/>
    <cellStyle name="%_091019 menucard Kassier per RE release 4 aanp int 3 2" xfId="3944"/>
    <cellStyle name="%_091019 menucard Kassier per RE release 4 aanp int 4" xfId="3945"/>
    <cellStyle name="%_091019 menucard Kassier per RE release 4 aanp int 5" xfId="3946"/>
    <cellStyle name="%_091019 menucard Kassier per RE release 4 aanp int_OpexSpec" xfId="3947"/>
    <cellStyle name="%_091019 menucard Kassier per RE release 4 aanp int_OpexSpec 2" xfId="3948"/>
    <cellStyle name="%_091019 menucard Kassier per RE release 4 aanp int_OpexSpec 2 2" xfId="3949"/>
    <cellStyle name="%_091019 menucard Kassier per RE release 4 aanp int_OpexSpec 3" xfId="3950"/>
    <cellStyle name="%_091019 menucard Kassier per RE release 4 aanp int_OpexSpec 3 2" xfId="3951"/>
    <cellStyle name="%_091019 menucard Kassier per RE release 4 aanp int_OpexSpec 4" xfId="3952"/>
    <cellStyle name="%_091019 menucard Kassier per RE release 4 aanp int_OpexSpec 5" xfId="3953"/>
    <cellStyle name="%_091019 menucard Kassier per RE release 4 aanp int_OpexSpec_Inkoop BP v0" xfId="3954"/>
    <cellStyle name="%_091019 menucard Kassier per RE release 4 aanp int_OpexSpec_Inkoop BP v0 2" xfId="3955"/>
    <cellStyle name="%_091019 menucard Kassier per RE release 4 aanp int_OpexSpec_Inkoop BP v0 2 2" xfId="3956"/>
    <cellStyle name="%_091019 menucard Kassier per RE release 4 aanp int_OpexSpec_Inkoop BP v0 3" xfId="3957"/>
    <cellStyle name="%_091019 menucard Kassier per RE release 4 aanp int_OpexSpec_Inkoop BP v0 3 2" xfId="3958"/>
    <cellStyle name="%_091019 menucard Kassier per RE release 4 aanp int_OpexSpec_Inkoop BP v0 4" xfId="3959"/>
    <cellStyle name="%_091019 menucard Kassier per RE release 4 aanp int_OpexSpec_Inkoop BP v0 5" xfId="3960"/>
    <cellStyle name="%_091019 menucard Kassier per RE release 4 aanp int_OpexSpec_NewVB NL Q v410" xfId="3961"/>
    <cellStyle name="%_091019 menucard Kassier per RE release 4 aanp int_OpexSpec_NewVB NL Q v410 2" xfId="3962"/>
    <cellStyle name="%_091019 menucard Kassier per RE release 4 aanp int_OpexSpec_NewVB NL Q v410 2 2" xfId="3963"/>
    <cellStyle name="%_091019 menucard Kassier per RE release 4 aanp int_OpexSpec_NewVB NL Q v410 3" xfId="3964"/>
    <cellStyle name="%_091019 menucard Kassier per RE release 4 aanp int_OpexSpec_NewVB NL Q v410 3 2" xfId="3965"/>
    <cellStyle name="%_091019 menucard Kassier per RE release 4 aanp int_OpexSpec_NewVB NL Q v410 4" xfId="3966"/>
    <cellStyle name="%_091019 menucard Kassier per RE release 4 aanp int_OpexSpec_NewVB NL Q v410 5" xfId="3967"/>
    <cellStyle name="%_091019 menucard Kassier per RE release 4 aanp int_OpexSpec_NewVB NL Q v410_110926 Uitvraag items tbv Strategic Plan" xfId="3968"/>
    <cellStyle name="%_091019 menucard Kassier per RE release 4 aanp int_OpexSpec_NewVB NL Q v410_NewVB NL Q v505" xfId="3969"/>
    <cellStyle name="%_091019 menucard Kassier per RE release 4 aanp int_OpexSpec_NewVB NL Q v410_NewVB NL Q v505 2" xfId="3970"/>
    <cellStyle name="%_091019 menucard Kassier per RE release 4 aanp int_OpexSpec_NewVB NL Q v410_NewVB NL Q v505 2 2" xfId="3971"/>
    <cellStyle name="%_091019 menucard Kassier per RE release 4 aanp int_OpexSpec_NewVB NL Q v410_NewVB NL Q v505 3" xfId="3972"/>
    <cellStyle name="%_091019 menucard Kassier per RE release 4 aanp int_OpexSpec_NewVB NL Q v410_NewVB NL Q v505 3 2" xfId="3973"/>
    <cellStyle name="%_091019 menucard Kassier per RE release 4 aanp int_OpexSpec_NewVB NL Q v410_NewVB NL Q v505 4" xfId="3974"/>
    <cellStyle name="%_091019 menucard Kassier per RE release 4 aanp int_OpexSpec_NewVB NL Q v410_NewVB NL Q v505 5" xfId="3975"/>
    <cellStyle name="%_101001 Value Buckets v10" xfId="3976"/>
    <cellStyle name="%_101018 BP Check OLS" xfId="3977"/>
    <cellStyle name="%_101115 COGS ZM" xfId="3978"/>
    <cellStyle name="%_110810_Overzicht_Orderintake" xfId="3979"/>
    <cellStyle name="%_2008 Budget Southern Region V1" xfId="769"/>
    <cellStyle name="%_2008-07-01 aktiepunten NLB" xfId="3980"/>
    <cellStyle name="%_2008-07-01 aktiepunten NLB 2" xfId="3981"/>
    <cellStyle name="%_2008-07-01 aktiepunten NLB 2 2" xfId="3982"/>
    <cellStyle name="%_2008-07-01 aktiepunten NLB 3" xfId="3983"/>
    <cellStyle name="%_2008-07-01 aktiepunten NLB 3 2" xfId="3984"/>
    <cellStyle name="%_2008-07-01 aktiepunten NLB 4" xfId="3985"/>
    <cellStyle name="%_2008-07-01 aktiepunten NLB 5" xfId="3986"/>
    <cellStyle name="%_20080709_Bevroren_Intercompanies_PvdPloeg" xfId="770"/>
    <cellStyle name="%_20100818 input format OPEX spec" xfId="3987"/>
    <cellStyle name="%_2012 PL" xfId="771"/>
    <cellStyle name="%_2012 PL months" xfId="772"/>
    <cellStyle name="%_A&amp;L - 08 LW v1" xfId="773"/>
    <cellStyle name="%_A&amp;L - 08 LW v1_ManInput" xfId="774"/>
    <cellStyle name="%_A&amp;L - 08 LW v1_Risks" xfId="775"/>
    <cellStyle name="%_A&amp;L - 08 LW v1_Sheet1" xfId="776"/>
    <cellStyle name="%_Barclays 2008 FC1 - Jan 08 v 2 9 Fiinal" xfId="777"/>
    <cellStyle name="%_BenI" xfId="3988"/>
    <cellStyle name="%_Blad1" xfId="778"/>
    <cellStyle name="%_Blad1_Model Plan 2012" xfId="779"/>
    <cellStyle name="%_Boeing - 08 V1" xfId="780"/>
    <cellStyle name="%_Boeing - 08 V1_ManInput" xfId="781"/>
    <cellStyle name="%_Boeing - 08 V1_Risks" xfId="782"/>
    <cellStyle name="%_Boeing - 08 V1_Sheet1" xfId="783"/>
    <cellStyle name="%_Book1" xfId="784"/>
    <cellStyle name="%_BOOKER - 08 TEMPLATE (2)_PST_November6th" xfId="785"/>
    <cellStyle name="%_BOOKER - 08 TEMPLATE (2)_PST_November6th_ManInput" xfId="786"/>
    <cellStyle name="%_BOOKER - 08 TEMPLATE (2)_PST_November6th_Risks" xfId="787"/>
    <cellStyle name="%_BOOKER - 08 TEMPLATE (2)_PST_November6th_Sheet1" xfId="788"/>
    <cellStyle name="%_Britania BS - 08 V1" xfId="789"/>
    <cellStyle name="%_Britania BS - 08 V1_ManInput" xfId="790"/>
    <cellStyle name="%_Britania BS - 08 V1_Risks" xfId="791"/>
    <cellStyle name="%_Britania BS - 08 V1_Sheet1" xfId="792"/>
    <cellStyle name="%_BS_130504_VA%20NSDM_Q1_%202008(1)" xfId="793"/>
    <cellStyle name="%_Budgeted Vs Actuals - SOUTHERN REGION  V2" xfId="794"/>
    <cellStyle name="%_Budgeted Vs Actuals - SOUTHERN REGION  V2_ManInput" xfId="795"/>
    <cellStyle name="%_Budgeted Vs Actuals - SOUTHERN REGION  V2_Risks" xfId="796"/>
    <cellStyle name="%_Budgeted Vs Actuals - SOUTHERN REGION  V2_Sheet1" xfId="797"/>
    <cellStyle name="%_CapexBoard" xfId="3989"/>
    <cellStyle name="%_CapexBoard 2" xfId="3990"/>
    <cellStyle name="%_CapexBoard 2 2" xfId="3991"/>
    <cellStyle name="%_CapexBoard 3" xfId="3992"/>
    <cellStyle name="%_CapexBoard 3 2" xfId="3993"/>
    <cellStyle name="%_CapexBoard 4" xfId="3994"/>
    <cellStyle name="%_CapexBoard 5" xfId="3995"/>
    <cellStyle name="%_CBI - 08 MATT ARNOLD update" xfId="798"/>
    <cellStyle name="%_CBI - 08 MATT ARNOLD update_ManInput" xfId="799"/>
    <cellStyle name="%_CBI - 08 MATT ARNOLD update_Risks" xfId="800"/>
    <cellStyle name="%_CBI - 08 MATT ARNOLD update_Sheet1" xfId="801"/>
    <cellStyle name="%_Check" xfId="802"/>
    <cellStyle name="%_CLARKS - 08 TEMPLATE CK 7 Nov" xfId="803"/>
    <cellStyle name="%_CLARKS - 08 TEMPLATE CK 7 Nov_ManInput" xfId="804"/>
    <cellStyle name="%_CLARKS - 08 TEMPLATE CK 7 Nov_Risks" xfId="805"/>
    <cellStyle name="%_CLARKS - 08 TEMPLATE CK 7 Nov_Sheet1" xfId="806"/>
    <cellStyle name="%_COLT - 08 Chris Westwood" xfId="807"/>
    <cellStyle name="%_COLT - 08 Chris Westwood_ManInput" xfId="808"/>
    <cellStyle name="%_COLT - 08 Chris Westwood_Risks" xfId="809"/>
    <cellStyle name="%_COLT - 08 Chris Westwood_Sheet1" xfId="810"/>
    <cellStyle name="%_Copy of Org tabel menu kaart" xfId="811"/>
    <cellStyle name="%_Copy of PSN - 08 AN input 8 Nov" xfId="812"/>
    <cellStyle name="%_Copy of PSN - 08 AN input 8 Nov_ManInput" xfId="813"/>
    <cellStyle name="%_Copy of PSN - 08 AN input 8 Nov_Risks" xfId="814"/>
    <cellStyle name="%_Copy of PSN - 08 AN input 8 Nov_Sheet1" xfId="815"/>
    <cellStyle name="%_Corus - 08 V1" xfId="816"/>
    <cellStyle name="%_Corus - 08 V1_ManInput" xfId="817"/>
    <cellStyle name="%_Corus - 08 V1_Risks" xfId="818"/>
    <cellStyle name="%_Corus - 08 V1_Sheet1" xfId="819"/>
    <cellStyle name="%_COVENTRY BS - 08 V1" xfId="820"/>
    <cellStyle name="%_COVENTRY BS - 08 V1_ManInput" xfId="821"/>
    <cellStyle name="%_COVENTRY BS - 08 V1_Risks" xfId="822"/>
    <cellStyle name="%_COVENTRY BS - 08 V1_Sheet1" xfId="823"/>
    <cellStyle name="%_cpst aanbiedingen Q4 10 dec 2009 totaal" xfId="13"/>
    <cellStyle name="%_CUNNINGHAM LINDSAY - 08" xfId="824"/>
    <cellStyle name="%_CUNNINGHAM LINDSAY - 08_ManInput" xfId="825"/>
    <cellStyle name="%_CUNNINGHAM LINDSAY - 08_Risks" xfId="826"/>
    <cellStyle name="%_CUNNINGHAM LINDSAY - 08_Sheet1" xfId="827"/>
    <cellStyle name="%_CUSTOMER PROFITABILITY REPORTS - Dec 07" xfId="828"/>
    <cellStyle name="%_DCS Bridge actualv v Budget Feb 08" xfId="829"/>
    <cellStyle name="%_DERBYSHIRE - 08 LW v1" xfId="830"/>
    <cellStyle name="%_DERBYSHIRE - 08 LW v1_ManInput" xfId="831"/>
    <cellStyle name="%_DERBYSHIRE - 08 LW v1_Risks" xfId="832"/>
    <cellStyle name="%_DERBYSHIRE - 08 LW v1_Sheet1" xfId="833"/>
    <cellStyle name="%_DEUTSCHE BANK - 08 (Nikolai Lakovic)" xfId="834"/>
    <cellStyle name="%_DEUTSCHE BANK - 08 (Nikolai Lakovic)_ManInput" xfId="835"/>
    <cellStyle name="%_DEUTSCHE BANK - 08 (Nikolai Lakovic)_Risks" xfId="836"/>
    <cellStyle name="%_DEUTSCHE BANK - 08 (Nikolai Lakovic)_Sheet1" xfId="837"/>
    <cellStyle name="%_Direct (Projects)" xfId="838"/>
    <cellStyle name="%_DSM - 08 MW 3 Nov" xfId="839"/>
    <cellStyle name="%_DSM - 08 MW 3 Nov_ManInput" xfId="840"/>
    <cellStyle name="%_DSM - 08 MW 3 Nov_Risks" xfId="841"/>
    <cellStyle name="%_DSM - 08 MW 3 Nov_Sheet1" xfId="842"/>
    <cellStyle name="%_DWDM ILL tarief update 28-3-2011" xfId="843"/>
    <cellStyle name="%_Entity structuur 2011" xfId="844"/>
    <cellStyle name="%_EVPN Model_20102601_v0.1" xfId="14"/>
    <cellStyle name="%_FC_06" xfId="845"/>
    <cellStyle name="%_FC05 2008" xfId="846"/>
    <cellStyle name="%_FCF 2008 - 2010" xfId="3996"/>
    <cellStyle name="%_Fill the gap Vast 19052009" xfId="3997"/>
    <cellStyle name="%_Fixed Data" xfId="3998"/>
    <cellStyle name="%_Ford - 08 V1" xfId="847"/>
    <cellStyle name="%_Ford - 08 V1_ManInput" xfId="848"/>
    <cellStyle name="%_Ford - 08 V1_Risks" xfId="849"/>
    <cellStyle name="%_Ford - 08 V1_Sheet1" xfId="850"/>
    <cellStyle name="%_G4S - 08 TEMPLATE (2)" xfId="851"/>
    <cellStyle name="%_G4S - 08 TEMPLATE (2)_ManInput" xfId="852"/>
    <cellStyle name="%_G4S - 08 TEMPLATE (2)_Risks" xfId="853"/>
    <cellStyle name="%_G4S - 08 TEMPLATE (2)_Sheet1" xfId="854"/>
    <cellStyle name="%_GDC nieuwe pfc cc jan  2011 v4" xfId="855"/>
    <cellStyle name="%_GUNS Number and Customer Name" xfId="856"/>
    <cellStyle name="%_HBOS - 08 V1" xfId="857"/>
    <cellStyle name="%_HBOS - 08 V1_ManInput" xfId="858"/>
    <cellStyle name="%_HBOS - 08 V1_Risks" xfId="859"/>
    <cellStyle name="%_HBOS - 08 V1_Sheet1" xfId="860"/>
    <cellStyle name="%_IC_CS_2010_versie 1 sep" xfId="861"/>
    <cellStyle name="%_IC_CS_2010_versie 1 sep 2" xfId="862"/>
    <cellStyle name="%_IC_CS_2010_versie 1 sep_Blad2" xfId="863"/>
    <cellStyle name="%_IC_CS_2010_versie 1 sep_Blad2 2" xfId="864"/>
    <cellStyle name="%_IC_CS_2010_versie 1 sep_Blad2_JP2011" xfId="865"/>
    <cellStyle name="%_IC_CS_2010_versie 1 sep_JP2011" xfId="866"/>
    <cellStyle name="%_IC_CS_2010_versie 1 sep_Model Plan 2012" xfId="867"/>
    <cellStyle name="%_ICELAND - 08 LW v1" xfId="868"/>
    <cellStyle name="%_ICELAND - 08 LW v1_ManInput" xfId="869"/>
    <cellStyle name="%_ICELAND - 08 LW v1_Risks" xfId="870"/>
    <cellStyle name="%_ICELAND - 08 LW v1_Sheet1" xfId="871"/>
    <cellStyle name="%_ICS KPI" xfId="872"/>
    <cellStyle name="%_ICS_KPI driver sheet_ACT2010 - YEE2_sens" xfId="873"/>
    <cellStyle name="%_INEOS - 08 TEMPLATE sdm UPDATES" xfId="874"/>
    <cellStyle name="%_INEOS - 08 TEMPLATE sdm UPDATES_ManInput" xfId="875"/>
    <cellStyle name="%_INEOS - 08 TEMPLATE sdm UPDATES_Risks" xfId="876"/>
    <cellStyle name="%_INEOS - 08 TEMPLATE sdm UPDATES_Sheet1" xfId="877"/>
    <cellStyle name="%_ING - 08 PLAN Jim O Sullivan" xfId="878"/>
    <cellStyle name="%_ING - 08 PLAN Jim O Sullivan_ManInput" xfId="879"/>
    <cellStyle name="%_ING - 08 PLAN Jim O Sullivan_Risks" xfId="880"/>
    <cellStyle name="%_ING - 08 PLAN Jim O Sullivan_Sheet1" xfId="881"/>
    <cellStyle name="%_INNOSPEC - 08 (Forecast)v2" xfId="882"/>
    <cellStyle name="%_INNOSPEC - 08 (Forecast)v2_ManInput" xfId="883"/>
    <cellStyle name="%_INNOSPEC - 08 (Forecast)v2_Risks" xfId="884"/>
    <cellStyle name="%_INNOSPEC - 08 (Forecast)v2_Sheet1" xfId="885"/>
    <cellStyle name="%_IS Bridge actualv v Budget Feb08" xfId="886"/>
    <cellStyle name="%_Journal P05" xfId="887"/>
    <cellStyle name="%_JP2011" xfId="888"/>
    <cellStyle name="%_Kopie van Value buckets NL v82 ex WS" xfId="3999"/>
    <cellStyle name="%_KPN_Factsheets_Q1_2011_-_External - kpis" xfId="4000"/>
    <cellStyle name="%_KWT IS Data 2010-10-07" xfId="889"/>
    <cellStyle name="%_LPM Zakelijk Glas Stedelijk 20101013 Concept" xfId="890"/>
    <cellStyle name="%_ManInput" xfId="891"/>
    <cellStyle name="%_ManInput_1" xfId="892"/>
    <cellStyle name="%_ManInput_Sheet1" xfId="893"/>
    <cellStyle name="%_Marktcijfers" xfId="4001"/>
    <cellStyle name="%_Marktcijfers 2" xfId="4002"/>
    <cellStyle name="%_Marktcijfers 2 2" xfId="4003"/>
    <cellStyle name="%_Marktcijfers 3" xfId="4004"/>
    <cellStyle name="%_Marktcijfers 3 2" xfId="4005"/>
    <cellStyle name="%_Marktcijfers 4" xfId="4006"/>
    <cellStyle name="%_Marktcijfers 5" xfId="4007"/>
    <cellStyle name="%_Model Plan 2012" xfId="894"/>
    <cellStyle name="%_ND5 squeeze model  whs-whs v2 2 SDH ILL tar jan 2010" xfId="895"/>
    <cellStyle name="%_ND5 squeeze model  whs-whs v2.22" xfId="15"/>
    <cellStyle name="%_New PL Format" xfId="896"/>
    <cellStyle name="%_New PL Formatt" xfId="897"/>
    <cellStyle name="%_New PL Formatt_Sheet1" xfId="898"/>
    <cellStyle name="%_NewVB NL Q v319 ex7en9" xfId="4008"/>
    <cellStyle name="%_OIT data LE,SCM,INS,targets" xfId="4009"/>
    <cellStyle name="%_Onderbouwing Balanspost NSS " xfId="899"/>
    <cellStyle name="%_Oud KPN_HetNet_Planetportfolio OPTA" xfId="16"/>
    <cellStyle name="%_P&amp;L WHS split prepaid postpaid M2M Actuals 2009 2010 input business cockpit" xfId="4010"/>
    <cellStyle name="%_PHILIPS - 08 (09.11.07)" xfId="900"/>
    <cellStyle name="%_PHILIPS - 08 (09.11.07)_ManInput" xfId="901"/>
    <cellStyle name="%_PHILIPS - 08 (09.11.07)_Risks" xfId="902"/>
    <cellStyle name="%_PHILIPS - 08 (09.11.07)_Sheet1" xfId="903"/>
    <cellStyle name="%_Pivot" xfId="4011"/>
    <cellStyle name="%_Poorten Fee P09" xfId="904"/>
    <cellStyle name="%_PPT Link" xfId="4012"/>
    <cellStyle name="%_Preclosing" xfId="905"/>
    <cellStyle name="%_Preclosing jan11" xfId="906"/>
    <cellStyle name="%_Profit Centre with GUNS number" xfId="907"/>
    <cellStyle name="%_Review 14 sept bp wo (2)" xfId="4013"/>
    <cellStyle name="%_Risks" xfId="908"/>
    <cellStyle name="%_SANOFI AVENTIS - 08 (DAWN LEWRY)" xfId="909"/>
    <cellStyle name="%_SANOFI AVENTIS - 08 (DAWN LEWRY)_ManInput" xfId="910"/>
    <cellStyle name="%_SANOFI AVENTIS - 08 (DAWN LEWRY)_Risks" xfId="911"/>
    <cellStyle name="%_SANOFI AVENTIS - 08 (DAWN LEWRY)_Sheet1" xfId="912"/>
    <cellStyle name="%_SCOTTISH WIDOWS - 08 A.Haslam input" xfId="913"/>
    <cellStyle name="%_SCOTTISH WIDOWS - 08 A.Haslam input_ManInput" xfId="914"/>
    <cellStyle name="%_SCOTTISH WIDOWS - 08 A.Haslam input_Risks" xfId="915"/>
    <cellStyle name="%_SCOTTISH WIDOWS - 08 A.Haslam input_Sheet1" xfId="916"/>
    <cellStyle name="%_SD_PIPE" xfId="917"/>
    <cellStyle name="%_Sheet1" xfId="918"/>
    <cellStyle name="%_Sheet2" xfId="919"/>
    <cellStyle name="%_SHELL - 08 PB 6 Nov" xfId="920"/>
    <cellStyle name="%_SHELL - 08 PB 6 Nov_ManInput" xfId="921"/>
    <cellStyle name="%_SHELL - 08 PB 6 Nov_Risks" xfId="922"/>
    <cellStyle name="%_SHELL - 08 PB 6 Nov_Sheet1" xfId="923"/>
    <cellStyle name="%_Southern Region 2008 Coverage Customer Budget V 1.4" xfId="924"/>
    <cellStyle name="%_Southern Region 2008 Depth Customer Budget V1.7 values" xfId="925"/>
    <cellStyle name="%_Southern Region 2008 Depth Customer Budget V2.3" xfId="926"/>
    <cellStyle name="%_Southern Region Depth Customer Account Analysis V 1.0" xfId="927"/>
    <cellStyle name="%_Southern Region Depth Customer Account Analysis V 1.0_ManInput" xfId="928"/>
    <cellStyle name="%_Southern Region Depth Customer Account Analysis V 1.0_Risks" xfId="929"/>
    <cellStyle name="%_Southern Region Depth Customer Account Analysis V 1.0_Sheet1" xfId="930"/>
    <cellStyle name="%_Southern Region Management Overhead" xfId="931"/>
    <cellStyle name="%_Southern Region Management Overhead Reporting Pack V1.1" xfId="932"/>
    <cellStyle name="%_Southern Region Management Overhead Reporting Pack V1.1_ManInput" xfId="933"/>
    <cellStyle name="%_Southern Region Management Overhead Reporting Pack V1.1_Risks" xfId="934"/>
    <cellStyle name="%_Southern Region Management Overhead Reporting Pack V1.1_Sheet1" xfId="935"/>
    <cellStyle name="%_Southern Region Management Overhead_ManInput" xfId="936"/>
    <cellStyle name="%_Southern Region Management Overhead_Risks" xfId="937"/>
    <cellStyle name="%_Southern Region Management Overhead_Sheet1" xfId="938"/>
    <cellStyle name="%_Squeeze model v0.3 20-10-2009" xfId="17"/>
    <cellStyle name="%_Squeezetoets ND5 VISP Vodafone 0.2 tov WBA" xfId="18"/>
    <cellStyle name="%_SUBSEA 7 - 08 MC v1" xfId="939"/>
    <cellStyle name="%_SUBSEA 7 - 08 MC v1_ManInput" xfId="940"/>
    <cellStyle name="%_SUBSEA 7 - 08 MC v1_Risks" xfId="941"/>
    <cellStyle name="%_SUBSEA 7 - 08 MC v1_Sheet1" xfId="942"/>
    <cellStyle name="%_Summary (2)" xfId="943"/>
    <cellStyle name="%_SUPERDRUG - 08 TEMPLATE PB 7 Nov" xfId="944"/>
    <cellStyle name="%_SUPERDRUG - 08 TEMPLATE PB 7 Nov_ManInput" xfId="945"/>
    <cellStyle name="%_SUPERDRUG - 08 TEMPLATE PB 7 Nov_Risks" xfId="946"/>
    <cellStyle name="%_SUPERDRUG - 08 TEMPLATE PB 7 Nov_Sheet1" xfId="947"/>
    <cellStyle name="%_SWOL" xfId="4014"/>
    <cellStyle name="%_Tarieven DWDM ILL 3 juni 2011" xfId="948"/>
    <cellStyle name="%_THOMAS COOK - 08 Forecast pmil v3.0" xfId="949"/>
    <cellStyle name="%_THOMAS COOK - 08 Forecast pmil v3.0_ManInput" xfId="950"/>
    <cellStyle name="%_THOMAS COOK - 08 Forecast pmil v3.0_Risks" xfId="951"/>
    <cellStyle name="%_THOMAS COOK - 08 Forecast pmil v3.0_Sheet1" xfId="952"/>
    <cellStyle name="%_THRESHER - 08 TEMPLATE" xfId="953"/>
    <cellStyle name="%_THRESHER - 08 TEMPLATE_ManInput" xfId="954"/>
    <cellStyle name="%_THRESHER - 08 TEMPLATE_Risks" xfId="955"/>
    <cellStyle name="%_THRESHER - 08 TEMPLATE_Sheet1" xfId="956"/>
    <cellStyle name="%_T-MOBILE - 08 Fergal Donnelly" xfId="957"/>
    <cellStyle name="%_T-MOBILE - 08 Fergal Donnelly_ManInput" xfId="958"/>
    <cellStyle name="%_T-MOBILE - 08 Fergal Donnelly_Risks" xfId="959"/>
    <cellStyle name="%_T-MOBILE - 08 Fergal Donnelly_Sheet1" xfId="960"/>
    <cellStyle name="%_TRADER MEDIA - 08 M.Twiggs" xfId="961"/>
    <cellStyle name="%_TRADER MEDIA - 08 M.Twiggs_ManInput" xfId="962"/>
    <cellStyle name="%_TRADER MEDIA - 08 M.Twiggs_Risks" xfId="963"/>
    <cellStyle name="%_TRADER MEDIA - 08 M.Twiggs_Sheet1" xfId="964"/>
    <cellStyle name="%_UNISON - 2008 (Steve Newton)" xfId="965"/>
    <cellStyle name="%_UNISON - 2008 (Steve Newton)_ManInput" xfId="966"/>
    <cellStyle name="%_UNISON - 2008 (Steve Newton)_Risks" xfId="967"/>
    <cellStyle name="%_UNISON - 2008 (Steve Newton)_Sheet1" xfId="968"/>
    <cellStyle name="%_Value buckets NL v26 excl WS" xfId="4015"/>
    <cellStyle name="%_Value buckets NL v40 ex wholesale" xfId="4016"/>
    <cellStyle name="%_Value buckets NL v49 excl WO (2)" xfId="4017"/>
    <cellStyle name="%_Value buckets NL v53 excl  WS" xfId="4018"/>
    <cellStyle name="%_Value buckets NL v92" xfId="4019"/>
    <cellStyle name="%_YEE per mnd" xfId="4020"/>
    <cellStyle name="%_ZM IS Data Tarievenboek 2010-03-11" xfId="19"/>
    <cellStyle name="%_zz Southern Region 2008 Depth Customer Budget V2.1 ok so far" xfId="969"/>
    <cellStyle name="%0" xfId="4021"/>
    <cellStyle name="%0 2" xfId="4022"/>
    <cellStyle name="%1" xfId="4023"/>
    <cellStyle name="%1 2" xfId="4024"/>
    <cellStyle name="%2" xfId="4025"/>
    <cellStyle name="%2 2" xfId="4026"/>
    <cellStyle name="******************************************" xfId="20"/>
    <cellStyle name="****************************************** 2" xfId="21"/>
    <cellStyle name="****************************************** 2 2" xfId="970"/>
    <cellStyle name="****************************************** 3" xfId="971"/>
    <cellStyle name="****************************************** 4" xfId="972"/>
    <cellStyle name="??" xfId="22"/>
    <cellStyle name="?? [0.00]_~0032429" xfId="4028"/>
    <cellStyle name="?? 2" xfId="4027"/>
    <cellStyle name="???? [0.00]_~0032429" xfId="4029"/>
    <cellStyle name="????????????_BOOK1" xfId="4030"/>
    <cellStyle name="???????_BOOK1" xfId="4031"/>
    <cellStyle name="??????QTBLNEW" xfId="4032"/>
    <cellStyle name="?????_QTBLNEW" xfId="4033"/>
    <cellStyle name="????_~0032429" xfId="4034"/>
    <cellStyle name="??_~0032429" xfId="4035"/>
    <cellStyle name="?Q\?1@" xfId="23"/>
    <cellStyle name="?Q\?1@ 2" xfId="24"/>
    <cellStyle name="?Q\?1@ 2 2" xfId="973"/>
    <cellStyle name="?Q\?1@ 3" xfId="974"/>
    <cellStyle name="]_x000d__x000a_Width=797_x000d__x000a_Height=554_x000d__x000a__x000d__x000a_[Code]_x000d__x000a_Code0=/nyf50_x000d__x000a_Code1=4500000136_x000d__x000a_Code2=ME23_x000d__x000a_Code3=4500002322_x000d__x000a_Code4=#_x000d__x000a_Code5=MB01_x000d__x000a_" xfId="975"/>
    <cellStyle name="_~4475784" xfId="976"/>
    <cellStyle name="_~4789082" xfId="25"/>
    <cellStyle name="_~6915299" xfId="977"/>
    <cellStyle name="_~6915299 2" xfId="978"/>
    <cellStyle name="_~7561900" xfId="979"/>
    <cellStyle name="_~7561900 2" xfId="980"/>
    <cellStyle name="_~7910324" xfId="981"/>
    <cellStyle name="_~8380888" xfId="26"/>
    <cellStyle name="_~8380888_ND5 squeeze model  whs-whs v2.21 DWDM ILL" xfId="982"/>
    <cellStyle name="_~8783213" xfId="4036"/>
    <cellStyle name="_~8783213 2" xfId="4037"/>
    <cellStyle name="_~8783213 2 2" xfId="4038"/>
    <cellStyle name="_~8783213 3" xfId="4039"/>
    <cellStyle name="_~8783213 3 2" xfId="4040"/>
    <cellStyle name="_~8783213 4" xfId="4041"/>
    <cellStyle name="_~8783213 5" xfId="4042"/>
    <cellStyle name="_~9871415" xfId="27"/>
    <cellStyle name="_~9871415_ZM IS Data Tarievenboek 2010-03-11" xfId="28"/>
    <cellStyle name="_0310-model BP 2012 control totaal v0 9" xfId="4043"/>
    <cellStyle name="_040427 Omzet per BU_RJM" xfId="29"/>
    <cellStyle name="_040427 Omzet per BU_RJM_LPM PL 20101014 Concept" xfId="983"/>
    <cellStyle name="_040427 Omzet per BU_RJM_LPM PL 20101028 obv LRIC inkoop" xfId="984"/>
    <cellStyle name="_040427 Omzet per BU_RJM_Menucard_Staff_Master_2010-09-12" xfId="985"/>
    <cellStyle name="_040427 Omzet per BU_RJM_ND5 squeeze model  whs-whs v2.21 DWDM ILL" xfId="986"/>
    <cellStyle name="_040427 Omzet per BU_RJM_OIT data LE,SCM,INS,targets" xfId="4044"/>
    <cellStyle name="_060111 IPB merken AMPUs" xfId="4045"/>
    <cellStyle name="_060111 IPB merken AMPUs 2" xfId="4046"/>
    <cellStyle name="_071004 Model - ZM v21" xfId="987"/>
    <cellStyle name="_071004 Model - ZM v21 2" xfId="988"/>
    <cellStyle name="_071004 Model - ZM v21 2 2" xfId="4047"/>
    <cellStyle name="_071004 Model - ZM v21 3" xfId="4048"/>
    <cellStyle name="_071004 Model - ZM v21 3 2" xfId="4049"/>
    <cellStyle name="_071004 Model - ZM v21 4" xfId="4050"/>
    <cellStyle name="_071004 Model - ZM v21 5" xfId="4051"/>
    <cellStyle name="_071004 Model - ZM v21_Blad2" xfId="989"/>
    <cellStyle name="_071004 Model - ZM v21_Blad2 2" xfId="990"/>
    <cellStyle name="_071004 Model - ZM v21_Blad2_JP2011" xfId="991"/>
    <cellStyle name="_071004 Model - ZM v21_JP2011" xfId="992"/>
    <cellStyle name="_071004 Model - ZM v21_Model Plan 2012" xfId="993"/>
    <cellStyle name="_074 Informatieprofiel XS4ALL1" xfId="994"/>
    <cellStyle name="_074 Informatieprofiel XS4ALL1 2" xfId="995"/>
    <cellStyle name="_074 Informatieprofiel XS4ALL1 2 2" xfId="4052"/>
    <cellStyle name="_074 Informatieprofiel XS4ALL1 3" xfId="4053"/>
    <cellStyle name="_074 Informatieprofiel XS4ALL1 3 2" xfId="4054"/>
    <cellStyle name="_074 Informatieprofiel XS4ALL1 4" xfId="4055"/>
    <cellStyle name="_074 Informatieprofiel XS4ALL1 5" xfId="4056"/>
    <cellStyle name="_074 Informatieprofiel XS4ALL1_FC categoraal" xfId="996"/>
    <cellStyle name="_074 Informatieprofiel XS4ALL1_GDC nieuwe pfc cc jan  2011 v4" xfId="997"/>
    <cellStyle name="_074 Informatieprofiel XS4ALL1_JP2011" xfId="998"/>
    <cellStyle name="_074 Informatieprofiel XS4ALL1_JP2011 2" xfId="999"/>
    <cellStyle name="_074 Informatieprofiel XS4ALL1_JP2011_1" xfId="1000"/>
    <cellStyle name="_074 Informatieprofiel XS4ALL1_Pivot" xfId="4057"/>
    <cellStyle name="_074 Informatieprofiel XS4ALL1_PPT Link" xfId="4058"/>
    <cellStyle name="_074 Informatieprofiel XS4ALL1_Preclosing" xfId="1001"/>
    <cellStyle name="_074 Informatieprofiel XS4ALL1_Preclosing 2" xfId="1002"/>
    <cellStyle name="_074 Informatieprofiel XS4ALL1_Preclosing jan11" xfId="1003"/>
    <cellStyle name="_074 Informatieprofiel XS4ALL1_Preclosing_1" xfId="1004"/>
    <cellStyle name="_074 Informatieprofiel XS4ALL1_Preclosing_2" xfId="1005"/>
    <cellStyle name="_074 Informatieprofiel XS4ALL1_Preclosing_3" xfId="1006"/>
    <cellStyle name="_074 Informatieprofiel XS4ALL1_Preclosing_FC categoraal" xfId="1007"/>
    <cellStyle name="_074 Informatieprofiel XS4ALL1_Sheet1" xfId="1008"/>
    <cellStyle name="_074 Informatieprofiel XS4ALL1_Sheet1_1" xfId="1009"/>
    <cellStyle name="_074 Informatieprofiel XS4ALL1_Sheet1_1 2" xfId="1010"/>
    <cellStyle name="_074 Informatieprofiel XS4ALL1_Sheet1_1_FC categoraal" xfId="1011"/>
    <cellStyle name="_074 Informatieprofiel XS4ALL1_Sheet1_2" xfId="1012"/>
    <cellStyle name="_074 Informatieprofiel XS4ALL1_Sheet1_2 2" xfId="1013"/>
    <cellStyle name="_074 Informatieprofiel XS4ALL1_Sheet2" xfId="1014"/>
    <cellStyle name="_080605 JEV 2005" xfId="30"/>
    <cellStyle name="_080605 JEV 2005 2" xfId="31"/>
    <cellStyle name="_080605 JEV 2005 3" xfId="1015"/>
    <cellStyle name="_080605 JEV 2005_ND5 squeeze model  whs-whs v2.21 DWDM ILL" xfId="1016"/>
    <cellStyle name="_080619_OBU035_Oerlikon Solar_valuae creation from JV options_v1600" xfId="1017"/>
    <cellStyle name="_080619_OBU035_Oerlikon Solar_valuae creation from JV options_v1600 2" xfId="1018"/>
    <cellStyle name="_080717_Template _ICT vs  CS_v20080724 EdL" xfId="1019"/>
    <cellStyle name="_080717_Template _ICT vs  CS_v20080724 EdL 2" xfId="1020"/>
    <cellStyle name="_080717_Template _IS vs  CS_v1300_IS_250708" xfId="1021"/>
    <cellStyle name="_080717_Template _IS vs  CS_v1300_IS_250708 2" xfId="1022"/>
    <cellStyle name="_080717_Template _IS vs  CS_v20080724 EdL" xfId="1023"/>
    <cellStyle name="_080717_Template _IS vs  CS_v20080724 EdL 2" xfId="1024"/>
    <cellStyle name="_080717_Template _IS vs  ICT" xfId="1025"/>
    <cellStyle name="_080717_Template _IS vs  ICT 2" xfId="1026"/>
    <cellStyle name="_080717_Template _IS vs  ICT_v1300_IS_250708" xfId="1027"/>
    <cellStyle name="_080717_Template _IS vs  ICT_v1300_IS_250708 2" xfId="1028"/>
    <cellStyle name="_090909 GTN - ZM master_update-GTN" xfId="1029"/>
    <cellStyle name="_091019 menucard Kassier per RE release 4 aanp int" xfId="4059"/>
    <cellStyle name="_091019 menucard Kassier per RE release 4 aanp int 2" xfId="4060"/>
    <cellStyle name="_091019 menucard Kassier per RE release 4 aanp int 2 2" xfId="4061"/>
    <cellStyle name="_091019 menucard Kassier per RE release 4 aanp int 3" xfId="4062"/>
    <cellStyle name="_091019 menucard Kassier per RE release 4 aanp int 3 2" xfId="4063"/>
    <cellStyle name="_091019 menucard Kassier per RE release 4 aanp int 4" xfId="4064"/>
    <cellStyle name="_091019 menucard Kassier per RE release 4 aanp int 5" xfId="4065"/>
    <cellStyle name="_1.1 IDC Telecom Update Q409" xfId="4066"/>
    <cellStyle name="_1.1 IDC Telecom Update Q409 2" xfId="4067"/>
    <cellStyle name="_1.1 IDC Telecom Update Q409 2 2" xfId="4068"/>
    <cellStyle name="_1.1 IDC Telecom Update Q409 3" xfId="4069"/>
    <cellStyle name="_1.1 IDC Telecom Update Q409 3 2" xfId="4070"/>
    <cellStyle name="_1.1 IDC Telecom Update Q409 4" xfId="4071"/>
    <cellStyle name="_1.1 IDC Telecom Update Q409 5" xfId="4072"/>
    <cellStyle name="_10 JEV oktober versie 5" xfId="32"/>
    <cellStyle name="_10 JEV oktober versie 5 2" xfId="33"/>
    <cellStyle name="_10 JEV oktober versie 5 3" xfId="1030"/>
    <cellStyle name="_10 JEV oktober versie 5_ND5 squeeze model  whs-whs v2.21 DWDM ILL" xfId="1031"/>
    <cellStyle name="_100115 Financials ZM 2008-2012 versie 8 (McKinsey)_JVN2" xfId="4073"/>
    <cellStyle name="_100115 Financials ZM 2008-2012 versie 8 (McKinsey)_JVN2 2" xfId="4074"/>
    <cellStyle name="_100115 Financials ZM 2008-2012 versie 8 (McKinsey)_JVN2 2 2" xfId="4075"/>
    <cellStyle name="_100115 Financials ZM 2008-2012 versie 8 (McKinsey)_JVN2 3" xfId="4076"/>
    <cellStyle name="_100115 Financials ZM 2008-2012 versie 8 (McKinsey)_JVN2 3 2" xfId="4077"/>
    <cellStyle name="_100115 Financials ZM 2008-2012 versie 8 (McKinsey)_JVN2 4" xfId="4078"/>
    <cellStyle name="_100115 Financials ZM 2008-2012 versie 8 (McKinsey)_JVN2 5" xfId="4079"/>
    <cellStyle name="_100630 Analyse model ZM 2009-2013" xfId="4080"/>
    <cellStyle name="_100630 Analyse model ZM 2009-2013 2" xfId="4081"/>
    <cellStyle name="_100630 Analyse model ZM 2009-2013 2 2" xfId="4082"/>
    <cellStyle name="_100630 Analyse model ZM 2009-2013 3" xfId="4083"/>
    <cellStyle name="_100630 Analyse model ZM 2009-2013 3 2" xfId="4084"/>
    <cellStyle name="_100630 Analyse model ZM 2009-2013 4" xfId="4085"/>
    <cellStyle name="_100630 Analyse model ZM 2009-2013 5" xfId="4086"/>
    <cellStyle name="_100630 Market ZM voor RvB - FINAL" xfId="4087"/>
    <cellStyle name="_101018 BP Check OLS" xfId="4088"/>
    <cellStyle name="_101018 BP Check OLS 2" xfId="4089"/>
    <cellStyle name="_101018 BP Check OLS 2 2" xfId="4090"/>
    <cellStyle name="_101018 BP Check OLS 3" xfId="4091"/>
    <cellStyle name="_101018 BP Check OLS 3 2" xfId="4092"/>
    <cellStyle name="_101018 BP Check OLS 4" xfId="4093"/>
    <cellStyle name="_101018 BP Check OLS 5" xfId="4094"/>
    <cellStyle name="_101129_Overview of spend_v9" xfId="4095"/>
    <cellStyle name="_101129_Sourcing data_v7" xfId="4096"/>
    <cellStyle name="_110105_OIT Reporting - invulversie 2010_v1" xfId="4097"/>
    <cellStyle name="_110130_OIT Reporting - invulversie 2009_v3" xfId="4098"/>
    <cellStyle name="_110130_OIT Reporting - invulversie 2010_v4" xfId="4099"/>
    <cellStyle name="_110526 ZM sheet Like for Like Q1 NL Board FINAL" xfId="4100"/>
    <cellStyle name="_110526 ZM sheet Like for Like Q1 NL Board FINAL 2" xfId="4101"/>
    <cellStyle name="_110526 ZM sheet Like for Like Q1 NL Board FINAL 2 2" xfId="4102"/>
    <cellStyle name="_110526 ZM sheet Like for Like Q1 NL Board FINAL 3" xfId="4103"/>
    <cellStyle name="_110526 ZM sheet Like for Like Q1 NL Board FINAL 3 2" xfId="4104"/>
    <cellStyle name="_110526 ZM sheet Like for Like Q1 NL Board FINAL 4" xfId="4105"/>
    <cellStyle name="_110526 ZM sheet Like for Like Q1 NL Board FINAL 5" xfId="4106"/>
    <cellStyle name="_110621 Reguleringsimpact ZM Mobile" xfId="4107"/>
    <cellStyle name="_110621 Reguleringsimpact ZM Mobile 2" xfId="4108"/>
    <cellStyle name="_110621 Reguleringsimpact ZM Mobile 2 2" xfId="4109"/>
    <cellStyle name="_110621 Reguleringsimpact ZM Mobile 3" xfId="4110"/>
    <cellStyle name="_110621 Reguleringsimpact ZM Mobile 3 2" xfId="4111"/>
    <cellStyle name="_110621 Reguleringsimpact ZM Mobile 4" xfId="4112"/>
    <cellStyle name="_110621 Reguleringsimpact ZM Mobile 5" xfId="4113"/>
    <cellStyle name="_110810_Overzicht_Orderintake" xfId="4114"/>
    <cellStyle name="_110829-opzet JEV-JP mobiel v0 21 (4)" xfId="4115"/>
    <cellStyle name="_111501portfolio" xfId="34"/>
    <cellStyle name="_111501portfolio 2" xfId="35"/>
    <cellStyle name="_111501portfolio 3" xfId="1032"/>
    <cellStyle name="_111501portfolio_ND5 squeeze model  whs-whs v2.21 DWDM ILL" xfId="1033"/>
    <cellStyle name="_1201" xfId="1034"/>
    <cellStyle name="_12017" xfId="1035"/>
    <cellStyle name="_2.5.5.29 - Mexico FC09" xfId="1036"/>
    <cellStyle name="_2003-06-18 JEV3 LLS" xfId="36"/>
    <cellStyle name="_2003-06-18 JEV3 LLS 2" xfId="37"/>
    <cellStyle name="_2003-06-18 JEV3 LLS 2 2" xfId="1037"/>
    <cellStyle name="_2003-06-18 JEV3 LLS 3" xfId="1038"/>
    <cellStyle name="_2003-06-18 JEV3 LLS 3 2" xfId="4116"/>
    <cellStyle name="_2003-06-18 JEV3 LLS 4" xfId="4117"/>
    <cellStyle name="_2003-06-18 JEV3 LLS 5" xfId="4118"/>
    <cellStyle name="_2003-06-18 JEV3 LLS_Blad2" xfId="1039"/>
    <cellStyle name="_2003-06-18 JEV3 LLS_Blad2 2" xfId="1040"/>
    <cellStyle name="_2003-06-18 JEV3 LLS_Blad2_JP2011" xfId="1041"/>
    <cellStyle name="_2003-06-18 JEV3 LLS_EVPN Model_20102601_v0.1" xfId="38"/>
    <cellStyle name="_2003-06-18 JEV3 LLS_JP2011" xfId="1042"/>
    <cellStyle name="_2003-06-18 JEV3 LLS_KWT IS Data 2010-10-07" xfId="1043"/>
    <cellStyle name="_2003-06-18 JEV3 LLS_Model Plan 2012" xfId="1044"/>
    <cellStyle name="_2003-06-18 JEV3 LLS_ND5 squeeze model  whs-whs v2.21 DWDM ILL" xfId="1045"/>
    <cellStyle name="_2003-06-18 JEV3 LLS_ZM IS Data Tarievenboek 2010-03-11" xfId="39"/>
    <cellStyle name="_2003-08 JEV BSA v5" xfId="40"/>
    <cellStyle name="_2003-08 JEV BSA v5 2" xfId="1046"/>
    <cellStyle name="_2003-08 JEV BSA v5_Economy IPVPN - Centrale Aansluiting 20102601_v0.1 test EA" xfId="41"/>
    <cellStyle name="_2003-08 JEV BSA v5_Epacity EVPN_20102601_v0.1 test EA" xfId="42"/>
    <cellStyle name="_2003-08 JEV BSA v5_IP VPN Model 20100315_v1.0" xfId="43"/>
    <cellStyle name="_2003-08 JEV BSA v5_KWT IS Data 2010-10-07" xfId="1047"/>
    <cellStyle name="_2003-08 JEV BSA v5_LPM EVPN 20100126_v0.1 test PB" xfId="44"/>
    <cellStyle name="_2003-08 JEV BSA v5_LPM EVPN 20101013 Concept" xfId="45"/>
    <cellStyle name="_2003-08 JEV BSA v5_LPM EVPN 20101118 concept" xfId="46"/>
    <cellStyle name="_2003-08 JEV BSA v5_LPM IP VPN + ONE  obv prijslijst 10.1 + 6.2 dd 20101015 Concept" xfId="47"/>
    <cellStyle name="_2003-08 JEV BSA v5_LPM IP VPN + ONE 20110104" xfId="48"/>
    <cellStyle name="_2003-08 JEV BSA v5_LPM IP VPN 20100614 obv prijslijst 10.1 Concept incl additionele asn" xfId="49"/>
    <cellStyle name="_2003-08 JEV BSA v5_LPM PL 20101014 Concept" xfId="1048"/>
    <cellStyle name="_2003-08 JEV BSA v5_LPM PL 20101028 obv LRIC inkoop" xfId="1049"/>
    <cellStyle name="_2003-08 JEV BSA v5_LPM Zakelijk DSL 20100520 inclusief XS4ALL na 15 mei 2010 Concept" xfId="50"/>
    <cellStyle name="_2003-08 JEV BSA v5_LPM Zakelijk Glas bedrijventerreinen_20100401_v1.0 test PB" xfId="51"/>
    <cellStyle name="_2003-08 JEV BSA v5_LPM Zakelijk Glas Stedelijk 20100617 Concept" xfId="52"/>
    <cellStyle name="_2003-08 JEV BSA v5_LPM Zakelijk Glas Stedelijk 20101013 Concept" xfId="53"/>
    <cellStyle name="_2003-08 JEV BSA v5_Menucard_Staff_Master_2010-09-12" xfId="1050"/>
    <cellStyle name="_2003-08 JEV BSA v5_ND5 squeeze model  whs-whs v2.21 DWDM ILL" xfId="1051"/>
    <cellStyle name="_2003-08 JEV BSA v5_Portfoliomatching dsl demon v1.xls" xfId="4119"/>
    <cellStyle name="_2003-08 JEV BSA v5_Portfoliomatching dsl demon v1.xls 2" xfId="4120"/>
    <cellStyle name="_2003-08 JEV BSA v5_Portfoliomatching dsl demon v1.xls 2 2" xfId="4121"/>
    <cellStyle name="_2003-08 JEV BSA v5_Portfoliomatching dsl demon v1.xls 3" xfId="4122"/>
    <cellStyle name="_2003-08 JEV BSA v5_Portfoliomatching dsl demon v1.xls 3 2" xfId="4123"/>
    <cellStyle name="_2003-08 JEV BSA v5_Portfoliomatching dsl demon v1.xls 4" xfId="4124"/>
    <cellStyle name="_2003-08 JEV BSA v5_Portfoliomatching dsl demon v1.xls 5" xfId="4125"/>
    <cellStyle name="_2003-08 JEV BSA v5_Portfoliomatching dsl demon ZAKELIJK sc2 v1s" xfId="4126"/>
    <cellStyle name="_2003-08 JEV BSA v5_Portfoliomatching dsl demon ZAKELIJK sc2 v1s 2" xfId="4127"/>
    <cellStyle name="_2003-08 JEV BSA v5_Portfoliomatching dsl demon ZAKELIJK sc2 v1s 2 2" xfId="4128"/>
    <cellStyle name="_2003-08 JEV BSA v5_Portfoliomatching dsl demon ZAKELIJK sc2 v1s 3" xfId="4129"/>
    <cellStyle name="_2003-08 JEV BSA v5_Portfoliomatching dsl demon ZAKELIJK sc2 v1s 3 2" xfId="4130"/>
    <cellStyle name="_2003-08 JEV BSA v5_Portfoliomatching dsl demon ZAKELIJK sc2 v1s 4" xfId="4131"/>
    <cellStyle name="_2003-08 JEV BSA v5_Portfoliomatching dsl demon ZAKELIJK sc2 v1s 5" xfId="4132"/>
    <cellStyle name="_2003-08 JEV BSA v5_toets DSL 2010-11-18 obv LPM IP VPN + ONE 20101028" xfId="54"/>
    <cellStyle name="_2003-08 JEV BSA v5_toets DSL 2010-11-22 obv LPM IP VPN + ONE 20101028" xfId="55"/>
    <cellStyle name="_2003-08 JEV BSA v5_Zakelijk DSL Model 20100416_v1.1_inclusief XS4ALL" xfId="56"/>
    <cellStyle name="_2003-08 JEV BSA v5_Zakelijk Glas Stedelijk_2010_v0.1 test PB" xfId="57"/>
    <cellStyle name="_2003-08 JEV BSA v5_ZM IS Data Tarievenboek 2010-03-11" xfId="58"/>
    <cellStyle name="_2003-08 JEV BSA vPVO" xfId="59"/>
    <cellStyle name="_2003-08 JEV BSA vPVO 2" xfId="1052"/>
    <cellStyle name="_2003-08 JEV BSA vPVO_Economy IPVPN - Centrale Aansluiting 20102601_v0.1 test EA" xfId="60"/>
    <cellStyle name="_2003-08 JEV BSA vPVO_Epacity EVPN_20102601_v0.1 test EA" xfId="61"/>
    <cellStyle name="_2003-08 JEV BSA vPVO_IP VPN Model 20100315_v1.0" xfId="62"/>
    <cellStyle name="_2003-08 JEV BSA vPVO_KWT IS Data 2010-10-07" xfId="1053"/>
    <cellStyle name="_2003-08 JEV BSA vPVO_LPM EVPN 20100126_v0.1 test PB" xfId="63"/>
    <cellStyle name="_2003-08 JEV BSA vPVO_LPM EVPN 20101013 Concept" xfId="64"/>
    <cellStyle name="_2003-08 JEV BSA vPVO_LPM EVPN 20101118 concept" xfId="65"/>
    <cellStyle name="_2003-08 JEV BSA vPVO_LPM IP VPN + ONE  obv prijslijst 10.1 + 6.2 dd 20101015 Concept" xfId="66"/>
    <cellStyle name="_2003-08 JEV BSA vPVO_LPM IP VPN + ONE 20110104" xfId="67"/>
    <cellStyle name="_2003-08 JEV BSA vPVO_LPM IP VPN 20100614 obv prijslijst 10.1 Concept incl additionele asn" xfId="68"/>
    <cellStyle name="_2003-08 JEV BSA vPVO_LPM PL 20101014 Concept" xfId="1054"/>
    <cellStyle name="_2003-08 JEV BSA vPVO_LPM PL 20101028 obv LRIC inkoop" xfId="1055"/>
    <cellStyle name="_2003-08 JEV BSA vPVO_LPM Zakelijk DSL 20100520 inclusief XS4ALL na 15 mei 2010 Concept" xfId="69"/>
    <cellStyle name="_2003-08 JEV BSA vPVO_LPM Zakelijk Glas bedrijventerreinen_20100401_v1.0 test PB" xfId="70"/>
    <cellStyle name="_2003-08 JEV BSA vPVO_LPM Zakelijk Glas Stedelijk 20100617 Concept" xfId="71"/>
    <cellStyle name="_2003-08 JEV BSA vPVO_LPM Zakelijk Glas Stedelijk 20101013 Concept" xfId="72"/>
    <cellStyle name="_2003-08 JEV BSA vPVO_Menucard_Staff_Master_2010-09-12" xfId="1056"/>
    <cellStyle name="_2003-08 JEV BSA vPVO_ND5 squeeze model  whs-whs v2.21 DWDM ILL" xfId="1057"/>
    <cellStyle name="_2003-08 JEV BSA vPVO_Portfoliomatching dsl demon v1.xls" xfId="4133"/>
    <cellStyle name="_2003-08 JEV BSA vPVO_Portfoliomatching dsl demon v1.xls 2" xfId="4134"/>
    <cellStyle name="_2003-08 JEV BSA vPVO_Portfoliomatching dsl demon v1.xls 2 2" xfId="4135"/>
    <cellStyle name="_2003-08 JEV BSA vPVO_Portfoliomatching dsl demon v1.xls 3" xfId="4136"/>
    <cellStyle name="_2003-08 JEV BSA vPVO_Portfoliomatching dsl demon v1.xls 3 2" xfId="4137"/>
    <cellStyle name="_2003-08 JEV BSA vPVO_Portfoliomatching dsl demon v1.xls 4" xfId="4138"/>
    <cellStyle name="_2003-08 JEV BSA vPVO_Portfoliomatching dsl demon v1.xls 5" xfId="4139"/>
    <cellStyle name="_2003-08 JEV BSA vPVO_Portfoliomatching dsl demon ZAKELIJK sc2 v1s" xfId="4140"/>
    <cellStyle name="_2003-08 JEV BSA vPVO_Portfoliomatching dsl demon ZAKELIJK sc2 v1s 2" xfId="4141"/>
    <cellStyle name="_2003-08 JEV BSA vPVO_Portfoliomatching dsl demon ZAKELIJK sc2 v1s 2 2" xfId="4142"/>
    <cellStyle name="_2003-08 JEV BSA vPVO_Portfoliomatching dsl demon ZAKELIJK sc2 v1s 3" xfId="4143"/>
    <cellStyle name="_2003-08 JEV BSA vPVO_Portfoliomatching dsl demon ZAKELIJK sc2 v1s 3 2" xfId="4144"/>
    <cellStyle name="_2003-08 JEV BSA vPVO_Portfoliomatching dsl demon ZAKELIJK sc2 v1s 4" xfId="4145"/>
    <cellStyle name="_2003-08 JEV BSA vPVO_Portfoliomatching dsl demon ZAKELIJK sc2 v1s 5" xfId="4146"/>
    <cellStyle name="_2003-08 JEV BSA vPVO_toets DSL 2010-11-18 obv LPM IP VPN + ONE 20101028" xfId="73"/>
    <cellStyle name="_2003-08 JEV BSA vPVO_toets DSL 2010-11-22 obv LPM IP VPN + ONE 20101028" xfId="74"/>
    <cellStyle name="_2003-08 JEV BSA vPVO_Zakelijk DSL Model 20100416_v1.1_inclusief XS4ALL" xfId="75"/>
    <cellStyle name="_2003-08 JEV BSA vPVO_Zakelijk Glas Stedelijk_2010_v0.1 test PB" xfId="76"/>
    <cellStyle name="_2003-08 JEV BSA vPVO_ZM IS Data Tarievenboek 2010-03-11" xfId="77"/>
    <cellStyle name="_2003-08-19 VBM - v1008" xfId="78"/>
    <cellStyle name="_2003-08-19 VBM - v1008 2" xfId="1058"/>
    <cellStyle name="_2003-08-19 VBM - v1008_Economy IPVPN - Centrale Aansluiting 20102601_v0.1 test EA" xfId="79"/>
    <cellStyle name="_2003-08-19 VBM - v1008_Epacity EVPN_20102601_v0.1 test EA" xfId="80"/>
    <cellStyle name="_2003-08-19 VBM - v1008_IP VPN Model 20100315_v1.0" xfId="81"/>
    <cellStyle name="_2003-08-19 VBM - v1008_KWT IS Data 2010-10-07" xfId="1059"/>
    <cellStyle name="_2003-08-19 VBM - v1008_LPM EVPN 20100126_v0.1 test PB" xfId="82"/>
    <cellStyle name="_2003-08-19 VBM - v1008_LPM EVPN 20101013 Concept" xfId="83"/>
    <cellStyle name="_2003-08-19 VBM - v1008_LPM EVPN 20101118 concept" xfId="84"/>
    <cellStyle name="_2003-08-19 VBM - v1008_LPM IP VPN + ONE  obv prijslijst 10.1 + 6.2 dd 20101015 Concept" xfId="85"/>
    <cellStyle name="_2003-08-19 VBM - v1008_LPM IP VPN + ONE 20110104" xfId="86"/>
    <cellStyle name="_2003-08-19 VBM - v1008_LPM IP VPN 20100614 obv prijslijst 10.1 Concept incl additionele asn" xfId="87"/>
    <cellStyle name="_2003-08-19 VBM - v1008_LPM PL 20101014 Concept" xfId="1060"/>
    <cellStyle name="_2003-08-19 VBM - v1008_LPM PL 20101028 obv LRIC inkoop" xfId="1061"/>
    <cellStyle name="_2003-08-19 VBM - v1008_LPM Zakelijk DSL 20100520 inclusief XS4ALL na 15 mei 2010 Concept" xfId="88"/>
    <cellStyle name="_2003-08-19 VBM - v1008_LPM Zakelijk Glas bedrijventerreinen_20100401_v1.0 test PB" xfId="89"/>
    <cellStyle name="_2003-08-19 VBM - v1008_LPM Zakelijk Glas Stedelijk 20100617 Concept" xfId="90"/>
    <cellStyle name="_2003-08-19 VBM - v1008_LPM Zakelijk Glas Stedelijk 20101013 Concept" xfId="91"/>
    <cellStyle name="_2003-08-19 VBM - v1008_Menucard_Staff_Master_2010-09-12" xfId="1062"/>
    <cellStyle name="_2003-08-19 VBM - v1008_ND5 squeeze model  whs-whs v2.21 DWDM ILL" xfId="1063"/>
    <cellStyle name="_2003-08-19 VBM - v1008_Portfoliomatching dsl demon v1.xls" xfId="4147"/>
    <cellStyle name="_2003-08-19 VBM - v1008_Portfoliomatching dsl demon v1.xls 2" xfId="4148"/>
    <cellStyle name="_2003-08-19 VBM - v1008_Portfoliomatching dsl demon v1.xls 2 2" xfId="4149"/>
    <cellStyle name="_2003-08-19 VBM - v1008_Portfoliomatching dsl demon v1.xls 3" xfId="4150"/>
    <cellStyle name="_2003-08-19 VBM - v1008_Portfoliomatching dsl demon v1.xls 3 2" xfId="4151"/>
    <cellStyle name="_2003-08-19 VBM - v1008_Portfoliomatching dsl demon v1.xls 4" xfId="4152"/>
    <cellStyle name="_2003-08-19 VBM - v1008_Portfoliomatching dsl demon v1.xls 5" xfId="4153"/>
    <cellStyle name="_2003-08-19 VBM - v1008_Portfoliomatching dsl demon ZAKELIJK sc2 v1s" xfId="4154"/>
    <cellStyle name="_2003-08-19 VBM - v1008_Portfoliomatching dsl demon ZAKELIJK sc2 v1s 2" xfId="4155"/>
    <cellStyle name="_2003-08-19 VBM - v1008_Portfoliomatching dsl demon ZAKELIJK sc2 v1s 2 2" xfId="4156"/>
    <cellStyle name="_2003-08-19 VBM - v1008_Portfoliomatching dsl demon ZAKELIJK sc2 v1s 3" xfId="4157"/>
    <cellStyle name="_2003-08-19 VBM - v1008_Portfoliomatching dsl demon ZAKELIJK sc2 v1s 3 2" xfId="4158"/>
    <cellStyle name="_2003-08-19 VBM - v1008_Portfoliomatching dsl demon ZAKELIJK sc2 v1s 4" xfId="4159"/>
    <cellStyle name="_2003-08-19 VBM - v1008_Portfoliomatching dsl demon ZAKELIJK sc2 v1s 5" xfId="4160"/>
    <cellStyle name="_2003-08-19 VBM - v1008_toets DSL 2010-11-18 obv LPM IP VPN + ONE 20101028" xfId="92"/>
    <cellStyle name="_2003-08-19 VBM - v1008_toets DSL 2010-11-22 obv LPM IP VPN + ONE 20101028" xfId="93"/>
    <cellStyle name="_2003-08-19 VBM - v1008_Zakelijk DSL Model 20100416_v1.1_inclusief XS4ALL" xfId="94"/>
    <cellStyle name="_2003-08-19 VBM - v1008_Zakelijk Glas Stedelijk_2010_v0.1 test PB" xfId="95"/>
    <cellStyle name="_2003-08-19 VBM - v1008_ZM IS Data Tarievenboek 2010-03-11" xfId="96"/>
    <cellStyle name="_2003-09 Totaal LLS afdeling 2004" xfId="97"/>
    <cellStyle name="_2003-09 Totaal LLS afdeling 2004 2" xfId="98"/>
    <cellStyle name="_2003-09 Totaal LLS afdeling 2004 2 2" xfId="1064"/>
    <cellStyle name="_2003-09 Totaal LLS afdeling 2004 3" xfId="1065"/>
    <cellStyle name="_2003-09 Totaal LLS afdeling 2004 3 2" xfId="4161"/>
    <cellStyle name="_2003-09 Totaal LLS afdeling 2004 4" xfId="4162"/>
    <cellStyle name="_2003-09 Totaal LLS afdeling 2004 5" xfId="4163"/>
    <cellStyle name="_2003-09 Totaal LLS afdeling 2004_Blad2" xfId="1066"/>
    <cellStyle name="_2003-09 Totaal LLS afdeling 2004_Blad2 2" xfId="1067"/>
    <cellStyle name="_2003-09 Totaal LLS afdeling 2004_Blad2_JP2011" xfId="1068"/>
    <cellStyle name="_2003-09 Totaal LLS afdeling 2004_EVPN Model_20102601_v0.1" xfId="99"/>
    <cellStyle name="_2003-09 Totaal LLS afdeling 2004_JP2011" xfId="1069"/>
    <cellStyle name="_2003-09 Totaal LLS afdeling 2004_KWT IS Data 2010-10-07" xfId="1070"/>
    <cellStyle name="_2003-09 Totaal LLS afdeling 2004_Model Plan 2012" xfId="1071"/>
    <cellStyle name="_2003-09 Totaal LLS afdeling 2004_ND5 squeeze model  whs-whs v2.21 DWDM ILL" xfId="1072"/>
    <cellStyle name="_2003-09 Totaal LLS afdeling 2004_ZM IS Data Tarievenboek 2010-03-11" xfId="100"/>
    <cellStyle name="_2003-10 JEV MEV Grafieken v2" xfId="101"/>
    <cellStyle name="_2003-10 JEV MEV Grafieken v2 2" xfId="102"/>
    <cellStyle name="_2003-10 JEV MEV Grafieken v2 2 2" xfId="1073"/>
    <cellStyle name="_2003-10 JEV MEV Grafieken v2 3" xfId="1074"/>
    <cellStyle name="_2003-10 JEV MEV Grafieken v2 3 2" xfId="4164"/>
    <cellStyle name="_2003-10 JEV MEV Grafieken v2 4" xfId="4165"/>
    <cellStyle name="_2003-10 JEV MEV Grafieken v2 5" xfId="4166"/>
    <cellStyle name="_2003-10 JEV MEV Grafieken v2_Blad2" xfId="1075"/>
    <cellStyle name="_2003-10 JEV MEV Grafieken v2_Blad2 2" xfId="1076"/>
    <cellStyle name="_2003-10 JEV MEV Grafieken v2_Blad2_JP2011" xfId="1077"/>
    <cellStyle name="_2003-10 JEV MEV Grafieken v2_EVPN Model_20102601_v0.1" xfId="103"/>
    <cellStyle name="_2003-10 JEV MEV Grafieken v2_JP2011" xfId="1078"/>
    <cellStyle name="_2003-10 JEV MEV Grafieken v2_KWT IS Data 2010-10-07" xfId="1079"/>
    <cellStyle name="_2003-10 JEV MEV Grafieken v2_Model Plan 2012" xfId="1080"/>
    <cellStyle name="_2003-10 JEV MEV Grafieken v2_ND5 squeeze model  whs-whs v2.21 DWDM ILL" xfId="1081"/>
    <cellStyle name="_2003-10 JEV MEV Grafieken v2_ZM IS Data Tarievenboek 2010-03-11" xfId="104"/>
    <cellStyle name="_2003-11 JEV Bitstream" xfId="105"/>
    <cellStyle name="_2003-11 JEV Bitstream 2" xfId="1082"/>
    <cellStyle name="_2003-11 JEV Bitstream_Economy IPVPN - Centrale Aansluiting 20102601_v0.1 test EA" xfId="106"/>
    <cellStyle name="_2003-11 JEV Bitstream_Epacity EVPN_20102601_v0.1 test EA" xfId="107"/>
    <cellStyle name="_2003-11 JEV Bitstream_IP VPN Model 20100315_v1.0" xfId="108"/>
    <cellStyle name="_2003-11 JEV Bitstream_KWT IS Data 2010-10-07" xfId="1083"/>
    <cellStyle name="_2003-11 JEV Bitstream_LPM EVPN 20100126_v0.1 test PB" xfId="109"/>
    <cellStyle name="_2003-11 JEV Bitstream_LPM EVPN 20101013 Concept" xfId="110"/>
    <cellStyle name="_2003-11 JEV Bitstream_LPM EVPN 20101118 concept" xfId="111"/>
    <cellStyle name="_2003-11 JEV Bitstream_LPM IP VPN + ONE  obv prijslijst 10.1 + 6.2 dd 20101015 Concept" xfId="112"/>
    <cellStyle name="_2003-11 JEV Bitstream_LPM IP VPN + ONE 20110104" xfId="113"/>
    <cellStyle name="_2003-11 JEV Bitstream_LPM IP VPN 20100614 obv prijslijst 10.1 Concept incl additionele asn" xfId="114"/>
    <cellStyle name="_2003-11 JEV Bitstream_LPM PL 20101014 Concept" xfId="1084"/>
    <cellStyle name="_2003-11 JEV Bitstream_LPM PL 20101028 obv LRIC inkoop" xfId="1085"/>
    <cellStyle name="_2003-11 JEV Bitstream_LPM Zakelijk DSL 20100520 inclusief XS4ALL na 15 mei 2010 Concept" xfId="115"/>
    <cellStyle name="_2003-11 JEV Bitstream_LPM Zakelijk Glas bedrijventerreinen_20100401_v1.0 test PB" xfId="116"/>
    <cellStyle name="_2003-11 JEV Bitstream_LPM Zakelijk Glas Stedelijk 20100617 Concept" xfId="117"/>
    <cellStyle name="_2003-11 JEV Bitstream_LPM Zakelijk Glas Stedelijk 20101013 Concept" xfId="118"/>
    <cellStyle name="_2003-11 JEV Bitstream_Menucard_Staff_Master_2010-09-12" xfId="1086"/>
    <cellStyle name="_2003-11 JEV Bitstream_ND5 squeeze model  whs-whs v2.21 DWDM ILL" xfId="1087"/>
    <cellStyle name="_2003-11 JEV Bitstream_Portfoliomatching dsl demon v1.xls" xfId="4167"/>
    <cellStyle name="_2003-11 JEV Bitstream_Portfoliomatching dsl demon v1.xls 2" xfId="4168"/>
    <cellStyle name="_2003-11 JEV Bitstream_Portfoliomatching dsl demon v1.xls 2 2" xfId="4169"/>
    <cellStyle name="_2003-11 JEV Bitstream_Portfoliomatching dsl demon v1.xls 3" xfId="4170"/>
    <cellStyle name="_2003-11 JEV Bitstream_Portfoliomatching dsl demon v1.xls 3 2" xfId="4171"/>
    <cellStyle name="_2003-11 JEV Bitstream_Portfoliomatching dsl demon v1.xls 4" xfId="4172"/>
    <cellStyle name="_2003-11 JEV Bitstream_Portfoliomatching dsl demon v1.xls 5" xfId="4173"/>
    <cellStyle name="_2003-11 JEV Bitstream_Portfoliomatching dsl demon ZAKELIJK sc2 v1s" xfId="4174"/>
    <cellStyle name="_2003-11 JEV Bitstream_Portfoliomatching dsl demon ZAKELIJK sc2 v1s 2" xfId="4175"/>
    <cellStyle name="_2003-11 JEV Bitstream_Portfoliomatching dsl demon ZAKELIJK sc2 v1s 2 2" xfId="4176"/>
    <cellStyle name="_2003-11 JEV Bitstream_Portfoliomatching dsl demon ZAKELIJK sc2 v1s 3" xfId="4177"/>
    <cellStyle name="_2003-11 JEV Bitstream_Portfoliomatching dsl demon ZAKELIJK sc2 v1s 3 2" xfId="4178"/>
    <cellStyle name="_2003-11 JEV Bitstream_Portfoliomatching dsl demon ZAKELIJK sc2 v1s 4" xfId="4179"/>
    <cellStyle name="_2003-11 JEV Bitstream_Portfoliomatching dsl demon ZAKELIJK sc2 v1s 5" xfId="4180"/>
    <cellStyle name="_2003-11 JEV Bitstream_toets DSL 2010-11-18 obv LPM IP VPN + ONE 20101028" xfId="119"/>
    <cellStyle name="_2003-11 JEV Bitstream_toets DSL 2010-11-22 obv LPM IP VPN + ONE 20101028" xfId="120"/>
    <cellStyle name="_2003-11 JEV Bitstream_Zakelijk DSL Model 20100416_v1.1_inclusief XS4ALL" xfId="121"/>
    <cellStyle name="_2003-11 JEV Bitstream_Zakelijk Glas Stedelijk_2010_v0.1 test PB" xfId="122"/>
    <cellStyle name="_2003-11 JEV Bitstream_ZM IS Data Tarievenboek 2010-03-11" xfId="123"/>
    <cellStyle name="_2005 JP Actief v8.xls" xfId="124"/>
    <cellStyle name="_2005 JP Actief v8.xls 2" xfId="125"/>
    <cellStyle name="_2005 JP Actief v8.xls 3" xfId="1088"/>
    <cellStyle name="_2005 JP Actief v8.xls_ND5 squeeze model  whs-whs v2.21 DWDM ILL" xfId="1089"/>
    <cellStyle name="_2006 Revenue Forecast v20b" xfId="1090"/>
    <cellStyle name="_20061112 FTE Finaal overzicht" xfId="1091"/>
    <cellStyle name="_2007 OHW tm bm 4 tbv everest (2)" xfId="4181"/>
    <cellStyle name="_2007 OHW tm bm 4 tbv everest (2) 2" xfId="4182"/>
    <cellStyle name="_2007 OHW tm bm 4 tbv everest (2) 2 2" xfId="4183"/>
    <cellStyle name="_2007 OHW tm bm 4 tbv everest (2) 3" xfId="4184"/>
    <cellStyle name="_2007 OHW tm bm 4 tbv everest (2) 3 2" xfId="4185"/>
    <cellStyle name="_2007 OHW tm bm 4 tbv everest (2) 4" xfId="4186"/>
    <cellStyle name="_2007 OHW tm bm 4 tbv everest (2) 5" xfId="4187"/>
    <cellStyle name="_2007 OHW tm bm 5 tbv everest" xfId="4188"/>
    <cellStyle name="_2007 OHW tm bm 5 tbv everest 2" xfId="4189"/>
    <cellStyle name="_2007 OHW tm bm 5 tbv everest 2 2" xfId="4190"/>
    <cellStyle name="_2007 OHW tm bm 5 tbv everest 3" xfId="4191"/>
    <cellStyle name="_2007 OHW tm bm 5 tbv everest 3 2" xfId="4192"/>
    <cellStyle name="_2007 OHW tm bm 5 tbv everest 4" xfId="4193"/>
    <cellStyle name="_2007 OHW tm bm 5 tbv everest 5" xfId="4194"/>
    <cellStyle name="_2007-09-26 JEV2007-BP2008-2010 ambitie 18 sept bottom up" xfId="1092"/>
    <cellStyle name="_2007-09-26 JEV2007-BP2008-2010 ambitie 18 sept bottom up 2" xfId="1093"/>
    <cellStyle name="_2007-09-26 JEV2007-BP2008-2010 ambitie 18 sept bottom up 2 2" xfId="4195"/>
    <cellStyle name="_2007-09-26 JEV2007-BP2008-2010 ambitie 18 sept bottom up 3" xfId="4196"/>
    <cellStyle name="_2007-09-26 JEV2007-BP2008-2010 ambitie 18 sept bottom up 3 2" xfId="4197"/>
    <cellStyle name="_2007-09-26 JEV2007-BP2008-2010 ambitie 18 sept bottom up 4" xfId="4198"/>
    <cellStyle name="_2007-09-26 JEV2007-BP2008-2010 ambitie 18 sept bottom up 5" xfId="4199"/>
    <cellStyle name="_2007-09-26 JEV2007-BP2008-2010 ambitie 18 sept bottom up_Blad2" xfId="1094"/>
    <cellStyle name="_2007-09-26 JEV2007-BP2008-2010 ambitie 18 sept bottom up_Blad2 2" xfId="1095"/>
    <cellStyle name="_2007-09-26 JEV2007-BP2008-2010 ambitie 18 sept bottom up_Blad2_JP2011" xfId="1096"/>
    <cellStyle name="_2007-09-26 JEV2007-BP2008-2010 ambitie 18 sept bottom up_JP2011" xfId="1097"/>
    <cellStyle name="_2007-09-26 JEV2007-BP2008-2010 ambitie 18 sept bottom up_Model Plan 2012" xfId="1098"/>
    <cellStyle name="_2007-10-16 BP model v35" xfId="1099"/>
    <cellStyle name="_2007-10-16 BP model v35 2" xfId="1100"/>
    <cellStyle name="_2007-10-16 BP model v35 2 2" xfId="4200"/>
    <cellStyle name="_2007-10-16 BP model v35 3" xfId="4201"/>
    <cellStyle name="_2007-10-16 BP model v35 3 2" xfId="4202"/>
    <cellStyle name="_2007-10-16 BP model v35 4" xfId="4203"/>
    <cellStyle name="_2007-10-16 BP model v35 5" xfId="4204"/>
    <cellStyle name="_2007-10-16 BP model v35_Blad2" xfId="1101"/>
    <cellStyle name="_2007-10-16 BP model v35_Blad2 2" xfId="1102"/>
    <cellStyle name="_2007-10-16 BP model v35_Blad2_JP2011" xfId="1103"/>
    <cellStyle name="_2007-10-16 BP model v35_JP2011" xfId="1104"/>
    <cellStyle name="_2007-10-16 BP model v35_Model Plan 2012" xfId="1105"/>
    <cellStyle name="_2007-10-19 therese" xfId="1106"/>
    <cellStyle name="_2007-10-19 therese 2" xfId="1107"/>
    <cellStyle name="_2007-10-19 therese 2 2" xfId="4205"/>
    <cellStyle name="_2007-10-19 therese 3" xfId="4206"/>
    <cellStyle name="_2007-10-19 therese 3 2" xfId="4207"/>
    <cellStyle name="_2007-10-19 therese 4" xfId="4208"/>
    <cellStyle name="_2007-10-19 therese 5" xfId="4209"/>
    <cellStyle name="_2007-10-19 therese_Blad2" xfId="1108"/>
    <cellStyle name="_2007-10-19 therese_Blad2 2" xfId="1109"/>
    <cellStyle name="_2007-10-19 therese_Blad2_JP2011" xfId="1110"/>
    <cellStyle name="_2007-10-19 therese_JP2011" xfId="1111"/>
    <cellStyle name="_2007-10-19 therese_Model Plan 2012" xfId="1112"/>
    <cellStyle name="_20071024 CS TVW_6" xfId="1113"/>
    <cellStyle name="_20071024 CS TVW_6 2" xfId="1114"/>
    <cellStyle name="_20071024 CS TVW_6 2 2" xfId="4210"/>
    <cellStyle name="_20071024 CS TVW_6 3" xfId="4211"/>
    <cellStyle name="_20071024 CS TVW_6 3 2" xfId="4212"/>
    <cellStyle name="_20071024 CS TVW_6 4" xfId="4213"/>
    <cellStyle name="_20071024 CS TVW_6 5" xfId="4214"/>
    <cellStyle name="_20071024 CS TVW_6_Blad2" xfId="1115"/>
    <cellStyle name="_20071024 CS TVW_6_Blad2 2" xfId="1116"/>
    <cellStyle name="_20071024 CS TVW_6_Blad2_JP2011" xfId="1117"/>
    <cellStyle name="_20071024 CS TVW_6_JP2011" xfId="1118"/>
    <cellStyle name="_20071024 CS TVW_6_Model Plan 2012" xfId="1119"/>
    <cellStyle name="_20071025 CS - Two P&amp;Ls" xfId="1120"/>
    <cellStyle name="_20071025 CS - Two P&amp;Ls 2" xfId="1121"/>
    <cellStyle name="_20071025 CS - Two P&amp;Ls 2 2" xfId="4215"/>
    <cellStyle name="_20071025 CS - Two P&amp;Ls 3" xfId="4216"/>
    <cellStyle name="_20071025 CS - Two P&amp;Ls 3 2" xfId="4217"/>
    <cellStyle name="_20071025 CS - Two P&amp;Ls 4" xfId="4218"/>
    <cellStyle name="_20071025 CS - Two P&amp;Ls 5" xfId="4219"/>
    <cellStyle name="_20071025 CS - Two P&amp;Ls_Blad2" xfId="1122"/>
    <cellStyle name="_20071025 CS - Two P&amp;Ls_Blad2 2" xfId="1123"/>
    <cellStyle name="_20071025 CS - Two P&amp;Ls_Blad2_JP2011" xfId="1124"/>
    <cellStyle name="_20071025 CS - Two P&amp;Ls_JP2011" xfId="1125"/>
    <cellStyle name="_20071025 CS - Two P&amp;Ls_Model Plan 2012" xfId="1126"/>
    <cellStyle name="_200711 CS Verrekening - TC aanrekening - cijfers okt (doc v1.0)" xfId="1127"/>
    <cellStyle name="_200711 CS Verrekening - TC aanrekening - cijfers okt (doc v1.0) 2" xfId="1128"/>
    <cellStyle name="_200711 CS Verrekening - TC aanrekening - cijfers okt (doc v1.0) 2 2" xfId="4220"/>
    <cellStyle name="_200711 CS Verrekening - TC aanrekening - cijfers okt (doc v1.0) 3" xfId="4221"/>
    <cellStyle name="_200711 CS Verrekening - TC aanrekening - cijfers okt (doc v1.0) 3 2" xfId="4222"/>
    <cellStyle name="_200711 CS Verrekening - TC aanrekening - cijfers okt (doc v1.0) 4" xfId="4223"/>
    <cellStyle name="_200711 CS Verrekening - TC aanrekening - cijfers okt (doc v1.0) 5" xfId="4224"/>
    <cellStyle name="_200711 CS Verrekening - TC aanrekening - cijfers okt (doc v1.0)_Blad2" xfId="1129"/>
    <cellStyle name="_200711 CS Verrekening - TC aanrekening - cijfers okt (doc v1.0)_Blad2 2" xfId="1130"/>
    <cellStyle name="_200711 CS Verrekening - TC aanrekening - cijfers okt (doc v1.0)_Blad2_JP2011" xfId="1131"/>
    <cellStyle name="_200711 CS Verrekening - TC aanrekening - cijfers okt (doc v1.0)_JP2011" xfId="1132"/>
    <cellStyle name="_200711 CS Verrekening - TC aanrekening - cijfers okt (doc v1.0)_Model Plan 2012" xfId="1133"/>
    <cellStyle name="_20071110 ECS offertetool data v10 - Incl top20 " xfId="1134"/>
    <cellStyle name="_2007-11-30 Restated P&amp;Ls v19" xfId="1135"/>
    <cellStyle name="_2007-12-04 One Kosten analyse (doc v1.2)" xfId="1136"/>
    <cellStyle name="_2008 07 28_Template _ICT vs  CS versie 1.0" xfId="1137"/>
    <cellStyle name="_2008 07 28_Template _ICT vs  CS versie 1.0 2" xfId="1138"/>
    <cellStyle name="_2008 07 28_Template _IS vs  ICT versie 1.0" xfId="1139"/>
    <cellStyle name="_2008 07 28_Template _IS vs  ICT versie 1.0 2" xfId="1140"/>
    <cellStyle name="_2008 Budget Southern Region V1" xfId="1141"/>
    <cellStyle name="_2008 Budget Southern Region V1_ManInput" xfId="1142"/>
    <cellStyle name="_2008 Budget Southern Region V1_Risks" xfId="1143"/>
    <cellStyle name="_2008 Budget Southern Region V1_Sheet1" xfId="1144"/>
    <cellStyle name="_20080402 Omzet Businessplan CUs 05072007 van Jer Burcksen" xfId="1145"/>
    <cellStyle name="_20090427 value trees" xfId="4225"/>
    <cellStyle name="_20090427 value trees 2" xfId="4226"/>
    <cellStyle name="_20090427 value trees 2 2" xfId="4227"/>
    <cellStyle name="_20090427 value trees 3" xfId="4228"/>
    <cellStyle name="_20090427 value trees 3 2" xfId="4229"/>
    <cellStyle name="_20090427 value trees 4" xfId="4230"/>
    <cellStyle name="_20090427 value trees 5" xfId="4231"/>
    <cellStyle name="_20090427 value trees_110810_Overzicht_Orderintake" xfId="4232"/>
    <cellStyle name="_20090427 value trees_BenI" xfId="4233"/>
    <cellStyle name="_20090427 value trees_Fixed Data" xfId="4234"/>
    <cellStyle name="_20090427 value trees_SWOL" xfId="4235"/>
    <cellStyle name="_27022007 match Rabobank vs KPN" xfId="1146"/>
    <cellStyle name="_27022007 match Rabobank vs KPN (Freijzer&amp;kees 14-mrt)" xfId="1147"/>
    <cellStyle name="_3-31 portfolio go-to-mkt sent to dave 092702" xfId="126"/>
    <cellStyle name="_3-31 portfolio go-to-mkt sent to dave 092702 2" xfId="127"/>
    <cellStyle name="_3-31 portfolio go-to-mkt sent to dave 092702 3" xfId="1148"/>
    <cellStyle name="_3-31 portfolio go-to-mkt sent to dave 092702_ND5 squeeze model  whs-whs v2.21 DWDM ILL" xfId="1149"/>
    <cellStyle name="_8 7 with PC final GPS PC and SF Restructure2" xfId="128"/>
    <cellStyle name="_8 7 with PC final GPS PC and SF Restructure2 2" xfId="129"/>
    <cellStyle name="_8 7 with PC final GPS PC and SF Restructure2 3" xfId="1150"/>
    <cellStyle name="_8 7 with PC final GPS PC and SF Restructure2_ND5 squeeze model  whs-whs v2.21 DWDM ILL" xfId="1151"/>
    <cellStyle name="_A&amp;L - 08 LW v1" xfId="1152"/>
    <cellStyle name="_AA" xfId="130"/>
    <cellStyle name="_AA 2" xfId="131"/>
    <cellStyle name="_AA 3" xfId="1153"/>
    <cellStyle name="_AA_ND5 squeeze model  whs-whs v2.21 DWDM ILL" xfId="1154"/>
    <cellStyle name="_Aansluitingen BM-Renald-jan06" xfId="132"/>
    <cellStyle name="_Aansluitingen BM-Renald-jan06 2" xfId="133"/>
    <cellStyle name="_Aansluitingen BM-Renald-jan06 2 2" xfId="4236"/>
    <cellStyle name="_Aansluitingen BM-Renald-jan06 3" xfId="1155"/>
    <cellStyle name="_Aansluitingen BM-Renald-jan06 3 2" xfId="4237"/>
    <cellStyle name="_Aansluitingen BM-Renald-jan06 4" xfId="4238"/>
    <cellStyle name="_Aansluitingen BM-Renald-jan06 5" xfId="4239"/>
    <cellStyle name="_Aansluitingen BM-Renald-jan06_Blad2" xfId="1156"/>
    <cellStyle name="_Aansluitingen BM-Renald-jan06_Blad2 2" xfId="1157"/>
    <cellStyle name="_Aansluitingen BM-Renald-jan06_Blad2_JP2011" xfId="1158"/>
    <cellStyle name="_Aansluitingen BM-Renald-jan06_JP2011" xfId="1159"/>
    <cellStyle name="_Aansluitingen BM-Renald-jan06_Model Plan 2012" xfId="1160"/>
    <cellStyle name="_Aansluitingen BM-Renald-jan06_ND5 squeeze model  whs-whs v2.21 DWDM ILL" xfId="1161"/>
    <cellStyle name="_Aansluitingen BM-Renald-jan06_OIT data LE,SCM,INS,targets" xfId="4240"/>
    <cellStyle name="_Aansluitingen BM-Renald-jun05" xfId="134"/>
    <cellStyle name="_Aansluitingen BM-Renald-jun05 2" xfId="135"/>
    <cellStyle name="_Aansluitingen BM-Renald-jun05 2 2" xfId="4241"/>
    <cellStyle name="_Aansluitingen BM-Renald-jun05 3" xfId="1162"/>
    <cellStyle name="_Aansluitingen BM-Renald-jun05 3 2" xfId="4242"/>
    <cellStyle name="_Aansluitingen BM-Renald-jun05 4" xfId="4243"/>
    <cellStyle name="_Aansluitingen BM-Renald-jun05 5" xfId="4244"/>
    <cellStyle name="_Aansluitingen BM-Renald-jun05_Blad2" xfId="1163"/>
    <cellStyle name="_Aansluitingen BM-Renald-jun05_Blad2 2" xfId="1164"/>
    <cellStyle name="_Aansluitingen BM-Renald-jun05_Blad2_JP2011" xfId="1165"/>
    <cellStyle name="_Aansluitingen BM-Renald-jun05_JP2011" xfId="1166"/>
    <cellStyle name="_Aansluitingen BM-Renald-jun05_Model Plan 2012" xfId="1167"/>
    <cellStyle name="_Aansluitingen BM-Renald-jun05_ND5 squeeze model  whs-whs v2.21 DWDM ILL" xfId="1168"/>
    <cellStyle name="_Aansluitingen BM-Renald-jun05_OIT data LE,SCM,INS,targets" xfId="4245"/>
    <cellStyle name="_Aansluitingen ZM-Renald-jan06" xfId="136"/>
    <cellStyle name="_Aansluitingen ZM-Renald-jan06 2" xfId="137"/>
    <cellStyle name="_Aansluitingen ZM-Renald-jan06 2 2" xfId="4246"/>
    <cellStyle name="_Aansluitingen ZM-Renald-jan06 3" xfId="1169"/>
    <cellStyle name="_Aansluitingen ZM-Renald-jan06 3 2" xfId="4247"/>
    <cellStyle name="_Aansluitingen ZM-Renald-jan06 4" xfId="4248"/>
    <cellStyle name="_Aansluitingen ZM-Renald-jan06 5" xfId="4249"/>
    <cellStyle name="_Aansluitingen ZM-Renald-jan06_Blad2" xfId="1170"/>
    <cellStyle name="_Aansluitingen ZM-Renald-jan06_Blad2 2" xfId="1171"/>
    <cellStyle name="_Aansluitingen ZM-Renald-jan06_Blad2_JP2011" xfId="1172"/>
    <cellStyle name="_Aansluitingen ZM-Renald-jan06_JP2011" xfId="1173"/>
    <cellStyle name="_Aansluitingen ZM-Renald-jan06_Model Plan 2012" xfId="1174"/>
    <cellStyle name="_Aansluitingen ZM-Renald-jan06_ND5 squeeze model  whs-whs v2.21 DWDM ILL" xfId="1175"/>
    <cellStyle name="_Aansluitingen ZM-Renald-jan06_OIT data LE,SCM,INS,targets" xfId="4250"/>
    <cellStyle name="_Aansluitingen ZM-Renald-sep08 V6" xfId="4251"/>
    <cellStyle name="_Aansluitingen ZM-Renald-sep08 V6 2" xfId="4252"/>
    <cellStyle name="_Aansluitingen ZM-Renald-sep08 V6_OIT data LE,SCM,INS,targets" xfId="4253"/>
    <cellStyle name="_Aantallen PCS" xfId="4254"/>
    <cellStyle name="_Aantallen PCS_OIT data LE,SCM,INS,targets" xfId="4255"/>
    <cellStyle name="_Aantallen xDSL tbv SRF" xfId="4256"/>
    <cellStyle name="_Aantallen xDSL tbv SRF 2" xfId="4257"/>
    <cellStyle name="_Aantallen xDSL tbv SRF 2 2" xfId="4258"/>
    <cellStyle name="_Aantallen xDSL tbv SRF 3" xfId="4259"/>
    <cellStyle name="_Aantallen xDSL tbv SRF 3 2" xfId="4260"/>
    <cellStyle name="_Aantallen xDSL tbv SRF 4" xfId="4261"/>
    <cellStyle name="_Aantallen xDSL tbv SRF 5" xfId="4262"/>
    <cellStyle name="_afstemming WO- PFM VOICE ZM vp 248 JEV apr07" xfId="138"/>
    <cellStyle name="_afzet development BP 2011-2013 v3" xfId="4263"/>
    <cellStyle name="_afzet development BP 2011-2013 v3 2" xfId="4264"/>
    <cellStyle name="_afzet development BP 2011-2013 v3 2 2" xfId="4265"/>
    <cellStyle name="_afzet development BP 2011-2013 v3 3" xfId="4266"/>
    <cellStyle name="_afzet development BP 2011-2013 v3 3 2" xfId="4267"/>
    <cellStyle name="_afzet development BP 2011-2013 v3 4" xfId="4268"/>
    <cellStyle name="_afzet development BP 2011-2013 v3 5" xfId="4269"/>
    <cellStyle name="_All_IP topology vs14-01" xfId="1176"/>
    <cellStyle name="_Alliance Budget 2008 values version 3. 0" xfId="1177"/>
    <cellStyle name="_Alliance Budget 2008 values version 3. 0_ManInput" xfId="1178"/>
    <cellStyle name="_Alliance Budget 2008 values version 3. 0_Risks" xfId="1179"/>
    <cellStyle name="_Alliance Budget 2008 values version 3. 0_Sheet1" xfId="1180"/>
    <cellStyle name="_Alliance Budget 2008 values version 4.0" xfId="1181"/>
    <cellStyle name="_AMS Business plan 2006" xfId="1182"/>
    <cellStyle name="_Analyse IC's apr 2006 concept" xfId="139"/>
    <cellStyle name="_Analyse IC's apr 2006 concept 2" xfId="140"/>
    <cellStyle name="_Analyse IC's apr 2006 concept 3" xfId="1183"/>
    <cellStyle name="_Analyse IC's apr 2006 concept_ND5 squeeze model  whs-whs v2.21 DWDM ILL" xfId="1184"/>
    <cellStyle name="_Analyse IC's feb 2006" xfId="141"/>
    <cellStyle name="_Analyse IC's feb 2006 2" xfId="142"/>
    <cellStyle name="_Analyse IC's feb 2006 3" xfId="1185"/>
    <cellStyle name="_Analyse IC's feb 2006_ND5 squeeze model  whs-whs v2.21 DWDM ILL" xfId="1186"/>
    <cellStyle name="_Analyse IC's Jan 2006" xfId="143"/>
    <cellStyle name="_Analyse IC's Jan 2006 2" xfId="144"/>
    <cellStyle name="_Analyse IC's Jan 2006 2 2" xfId="4270"/>
    <cellStyle name="_Analyse IC's Jan 2006 3" xfId="1187"/>
    <cellStyle name="_Analyse IC's Jan 2006 3 2" xfId="4271"/>
    <cellStyle name="_Analyse IC's Jan 2006 4" xfId="4272"/>
    <cellStyle name="_Analyse IC's Jan 2006 5" xfId="4273"/>
    <cellStyle name="_Analyse IC's Jan 2006_110810_Overzicht_Orderintake" xfId="4274"/>
    <cellStyle name="_Analyse IC's Jan 2006_20080530 Consolidatie Businessplan v12" xfId="1188"/>
    <cellStyle name="_Analyse IC's Jan 2006_20080530 Consolidatie Businessplan v12 2" xfId="1189"/>
    <cellStyle name="_Analyse IC's Jan 2006_20080530 Consolidatie Businessplan v12 2 2" xfId="4275"/>
    <cellStyle name="_Analyse IC's Jan 2006_20080530 Consolidatie Businessplan v12 3" xfId="4276"/>
    <cellStyle name="_Analyse IC's Jan 2006_20080530 Consolidatie Businessplan v12 3 2" xfId="4277"/>
    <cellStyle name="_Analyse IC's Jan 2006_20080530 Consolidatie Businessplan v12 4" xfId="4278"/>
    <cellStyle name="_Analyse IC's Jan 2006_20080530 Consolidatie Businessplan v12 5" xfId="4279"/>
    <cellStyle name="_Analyse IC's Jan 2006_20080530 Consolidatie Businessplan v12_Blad2" xfId="1190"/>
    <cellStyle name="_Analyse IC's Jan 2006_20080530 Consolidatie Businessplan v12_Blad2 2" xfId="1191"/>
    <cellStyle name="_Analyse IC's Jan 2006_20080530 Consolidatie Businessplan v12_Blad2_JP2011" xfId="1192"/>
    <cellStyle name="_Analyse IC's Jan 2006_20080530 Consolidatie Businessplan v12_JP2011" xfId="1193"/>
    <cellStyle name="_Analyse IC's Jan 2006_20080530 Consolidatie Businessplan v12_Model Plan 2012" xfId="1194"/>
    <cellStyle name="_Analyse IC's Jan 2006_20080605 Consolidatie Businessplan v15" xfId="1195"/>
    <cellStyle name="_Analyse IC's Jan 2006_20080605 Consolidatie Businessplan v15 2" xfId="1196"/>
    <cellStyle name="_Analyse IC's Jan 2006_20080605 Consolidatie Businessplan v15 2 2" xfId="4280"/>
    <cellStyle name="_Analyse IC's Jan 2006_20080605 Consolidatie Businessplan v15 3" xfId="4281"/>
    <cellStyle name="_Analyse IC's Jan 2006_20080605 Consolidatie Businessplan v15 3 2" xfId="4282"/>
    <cellStyle name="_Analyse IC's Jan 2006_20080605 Consolidatie Businessplan v15 4" xfId="4283"/>
    <cellStyle name="_Analyse IC's Jan 2006_20080605 Consolidatie Businessplan v15 5" xfId="4284"/>
    <cellStyle name="_Analyse IC's Jan 2006_20080605 Consolidatie Businessplan v15_Blad2" xfId="1197"/>
    <cellStyle name="_Analyse IC's Jan 2006_20080605 Consolidatie Businessplan v15_Blad2 2" xfId="1198"/>
    <cellStyle name="_Analyse IC's Jan 2006_20080605 Consolidatie Businessplan v15_Blad2_JP2011" xfId="1199"/>
    <cellStyle name="_Analyse IC's Jan 2006_20080605 Consolidatie Businessplan v15_JP2011" xfId="1200"/>
    <cellStyle name="_Analyse IC's Jan 2006_20080605 Consolidatie Businessplan v15_Model Plan 2012" xfId="1201"/>
    <cellStyle name="_Analyse IC's Jan 2006_20080605 Consolidatie Businessplan v19" xfId="1202"/>
    <cellStyle name="_Analyse IC's Jan 2006_20080605 Consolidatie Businessplan v19 2" xfId="1203"/>
    <cellStyle name="_Analyse IC's Jan 2006_20080605 Consolidatie Businessplan v19 2 2" xfId="4285"/>
    <cellStyle name="_Analyse IC's Jan 2006_20080605 Consolidatie Businessplan v19 3" xfId="4286"/>
    <cellStyle name="_Analyse IC's Jan 2006_20080605 Consolidatie Businessplan v19 3 2" xfId="4287"/>
    <cellStyle name="_Analyse IC's Jan 2006_20080605 Consolidatie Businessplan v19 4" xfId="4288"/>
    <cellStyle name="_Analyse IC's Jan 2006_20080605 Consolidatie Businessplan v19 5" xfId="4289"/>
    <cellStyle name="_Analyse IC's Jan 2006_20080605 Consolidatie Businessplan v19_Blad2" xfId="1204"/>
    <cellStyle name="_Analyse IC's Jan 2006_20080605 Consolidatie Businessplan v19_Blad2 2" xfId="1205"/>
    <cellStyle name="_Analyse IC's Jan 2006_20080605 Consolidatie Businessplan v19_Blad2_JP2011" xfId="1206"/>
    <cellStyle name="_Analyse IC's Jan 2006_20080605 Consolidatie Businessplan v19_JP2011" xfId="1207"/>
    <cellStyle name="_Analyse IC's Jan 2006_20080605 Consolidatie Businessplan v19_Model Plan 2012" xfId="1208"/>
    <cellStyle name="_Analyse IC's Jan 2006_BenI" xfId="4290"/>
    <cellStyle name="_Analyse IC's Jan 2006_Blad2" xfId="1209"/>
    <cellStyle name="_Analyse IC's Jan 2006_Blad2 2" xfId="1210"/>
    <cellStyle name="_Analyse IC's Jan 2006_Blad2_JP2011" xfId="1211"/>
    <cellStyle name="_Analyse IC's Jan 2006_Fixed Data" xfId="4291"/>
    <cellStyle name="_Analyse IC's Jan 2006_JP2011" xfId="1212"/>
    <cellStyle name="_Analyse IC's Jan 2006_Model Plan 2012" xfId="1213"/>
    <cellStyle name="_Analyse IC's Jan 2006_ND5 squeeze model  whs-whs v2.21 DWDM ILL" xfId="1214"/>
    <cellStyle name="_Analyse IC's Jan 2006_SWOL" xfId="4292"/>
    <cellStyle name="_Analyse IC's mrt 20061" xfId="145"/>
    <cellStyle name="_Analyse IC's mrt 20061 2" xfId="146"/>
    <cellStyle name="_Analyse IC's mrt 20061 3" xfId="1215"/>
    <cellStyle name="_Analyse IC's mrt 20061_ND5 squeeze model  whs-whs v2.21 DWDM ILL" xfId="1216"/>
    <cellStyle name="_Analyse JEV Q1 3e oplevering" xfId="4293"/>
    <cellStyle name="_ATS_V03" xfId="147"/>
    <cellStyle name="_ATS_V03 2" xfId="148"/>
    <cellStyle name="_ATS_V03 2 2" xfId="4294"/>
    <cellStyle name="_ATS_V03 3" xfId="1217"/>
    <cellStyle name="_ATS_V03 3 2" xfId="4295"/>
    <cellStyle name="_ATS_V03 4" xfId="4296"/>
    <cellStyle name="_ATS_V03 5" xfId="4297"/>
    <cellStyle name="_ATS_V03_ND5 squeeze model  whs-whs v2.21 DWDM ILL" xfId="1218"/>
    <cellStyle name="_audit check ZI mrt09" xfId="4298"/>
    <cellStyle name="_audit check ZI mrt09 2" xfId="4299"/>
    <cellStyle name="_audit check ZI mrt09 2 2" xfId="4300"/>
    <cellStyle name="_audit check ZI mrt09 3" xfId="4301"/>
    <cellStyle name="_audit check ZI mrt09 3 2" xfId="4302"/>
    <cellStyle name="_audit check ZI mrt09 4" xfId="4303"/>
    <cellStyle name="_audit check ZI mrt09 5" xfId="4304"/>
    <cellStyle name="_audit check ZI mrt09_110810_Overzicht_Orderintake" xfId="4305"/>
    <cellStyle name="_audit check ZI mrt09_BenI" xfId="4306"/>
    <cellStyle name="_audit check ZI mrt09_Fixed Data" xfId="4307"/>
    <cellStyle name="_audit check ZI mrt09_SWOL" xfId="4308"/>
    <cellStyle name="_Baan jan" xfId="149"/>
    <cellStyle name="_Baan jan 2" xfId="150"/>
    <cellStyle name="_Baan jan 3" xfId="1219"/>
    <cellStyle name="_Baan jan_ND5 squeeze model  whs-whs v2.21 DWDM ILL" xfId="1220"/>
    <cellStyle name="_Balans activa jul-07" xfId="4309"/>
    <cellStyle name="_Balans activa jul-07 2" xfId="4310"/>
    <cellStyle name="_Balans activa jul-07 2 2" xfId="4311"/>
    <cellStyle name="_Balans activa jul-07 3" xfId="4312"/>
    <cellStyle name="_Balans activa jul-07 3 2" xfId="4313"/>
    <cellStyle name="_Balans activa jul-07 4" xfId="4314"/>
    <cellStyle name="_Balans activa jul-07 5" xfId="4315"/>
    <cellStyle name="_Barclays consolidated reporting pack summary 2006 close" xfId="1221"/>
    <cellStyle name="_Barclays forecast fc6 v2" xfId="1222"/>
    <cellStyle name="_Barclays Management Pack April 2007 V3" xfId="1223"/>
    <cellStyle name="_Barclays only - 20 Feb (2)" xfId="1224"/>
    <cellStyle name="_Barclays PL review - Jul 07 v FC8v2 5 re-structure" xfId="1225"/>
    <cellStyle name="_Barclays PL review - May 07 v 13" xfId="1226"/>
    <cellStyle name="_Barclays PL review - May 07 v FC7v2.3 Final" xfId="1227"/>
    <cellStyle name="_barclays Tracker" xfId="1228"/>
    <cellStyle name="_BBNED orderfomulier uitgave 2 6 (2)" xfId="1229"/>
    <cellStyle name="_BBSC + P&amp;L BU CS juni 2004 conc" xfId="1230"/>
    <cellStyle name="_BBSC + P&amp;L BU CS juni 2004 conc 2" xfId="1231"/>
    <cellStyle name="_BBSC + P&amp;L BU CS juni 2004 conc 2 2" xfId="4316"/>
    <cellStyle name="_BBSC + P&amp;L BU CS juni 2004 conc 3" xfId="4317"/>
    <cellStyle name="_BBSC + P&amp;L BU CS juni 2004 conc 3 2" xfId="4318"/>
    <cellStyle name="_BBSC + P&amp;L BU CS juni 2004 conc 4" xfId="4319"/>
    <cellStyle name="_BBSC + P&amp;L BU CS juni 2004 conc 5" xfId="4320"/>
    <cellStyle name="_BBSC + P&amp;L BU CS juni 2004 conc_FC categoraal" xfId="1232"/>
    <cellStyle name="_BBSC + P&amp;L BU CS juni 2004 conc_GDC nieuwe pfc cc jan  2011 v4" xfId="1233"/>
    <cellStyle name="_BBSC + P&amp;L BU CS juni 2004 conc_JP2011" xfId="1234"/>
    <cellStyle name="_BBSC + P&amp;L BU CS juni 2004 conc_JP2011 2" xfId="1235"/>
    <cellStyle name="_BBSC + P&amp;L BU CS juni 2004 conc_JP2011_1" xfId="1236"/>
    <cellStyle name="_BBSC + P&amp;L BU CS juni 2004 conc_Pivot" xfId="4321"/>
    <cellStyle name="_BBSC + P&amp;L BU CS juni 2004 conc_PPT Link" xfId="4322"/>
    <cellStyle name="_BBSC + P&amp;L BU CS juni 2004 conc_Preclosing" xfId="1237"/>
    <cellStyle name="_BBSC + P&amp;L BU CS juni 2004 conc_Preclosing 2" xfId="1238"/>
    <cellStyle name="_BBSC + P&amp;L BU CS juni 2004 conc_Preclosing jan11" xfId="1239"/>
    <cellStyle name="_BBSC + P&amp;L BU CS juni 2004 conc_Preclosing_1" xfId="1240"/>
    <cellStyle name="_BBSC + P&amp;L BU CS juni 2004 conc_Preclosing_2" xfId="1241"/>
    <cellStyle name="_BBSC + P&amp;L BU CS juni 2004 conc_Preclosing_3" xfId="1242"/>
    <cellStyle name="_BBSC + P&amp;L BU CS juni 2004 conc_Preclosing_FC categoraal" xfId="1243"/>
    <cellStyle name="_BBSC + P&amp;L BU CS juni 2004 conc_Sheet1" xfId="1244"/>
    <cellStyle name="_BBSC + P&amp;L BU CS juni 2004 conc_Sheet1_1" xfId="1245"/>
    <cellStyle name="_BBSC + P&amp;L BU CS juni 2004 conc_Sheet1_1 2" xfId="1246"/>
    <cellStyle name="_BBSC + P&amp;L BU CS juni 2004 conc_Sheet1_1_FC categoraal" xfId="1247"/>
    <cellStyle name="_BBSC + P&amp;L BU CS juni 2004 conc_Sheet1_2" xfId="1248"/>
    <cellStyle name="_BBSC + P&amp;L BU CS juni 2004 conc_Sheet1_2 2" xfId="1249"/>
    <cellStyle name="_BBSC + P&amp;L BU CS juni 2004 conc_Sheet2" xfId="1250"/>
    <cellStyle name="_BBSC COMMERCIE en CHANGE Operations 2006 feb" xfId="1251"/>
    <cellStyle name="_BBSC contract Entercom 2005 Operations" xfId="1252"/>
    <cellStyle name="_BBSC Core ML mei '05_v1" xfId="151"/>
    <cellStyle name="_BBSC Core ML mei '05_v1 2" xfId="152"/>
    <cellStyle name="_BBSC Core ML mei '05_v1 3" xfId="1253"/>
    <cellStyle name="_BBSC Core ML mei '05_v1_ND5 squeeze model  whs-whs v2.21 DWDM ILL" xfId="1254"/>
    <cellStyle name="_BBSC DirectInternet 2003" xfId="153"/>
    <cellStyle name="_BBSC DirectInternet 2003 2" xfId="1255"/>
    <cellStyle name="_BBSC Operations 2006 feb" xfId="1256"/>
    <cellStyle name="_BBSC Operations 2006 jan" xfId="1257"/>
    <cellStyle name="_BBSC PfM 2005" xfId="1258"/>
    <cellStyle name="_BBSC Poelman 020304" xfId="1259"/>
    <cellStyle name="_BBSC Poelman 020304 2" xfId="4323"/>
    <cellStyle name="_BBSC Poelman 020304 2 2" xfId="4324"/>
    <cellStyle name="_BBSC Poelman 020304 3" xfId="4325"/>
    <cellStyle name="_BBSC Poelman 020304 3 2" xfId="4326"/>
    <cellStyle name="_BBSC Poelman 020304 4" xfId="4327"/>
    <cellStyle name="_BBSC Poelman 020304 5" xfId="4328"/>
    <cellStyle name="_BBSC Poelman 020304_090909 GTN - ZM master_update-GTN" xfId="1260"/>
    <cellStyle name="_BBSC Poelman 020304_Blad1" xfId="1261"/>
    <cellStyle name="_BBSC Poelman 020304_Blad1 2" xfId="1262"/>
    <cellStyle name="_BBSC Poelman 020304_Blad1_Blad2" xfId="1263"/>
    <cellStyle name="_BBSC Poelman 020304_Blad1_Blad2 2" xfId="1264"/>
    <cellStyle name="_BBSC Poelman 020304_Blad1_Blad2_JP2011" xfId="1265"/>
    <cellStyle name="_BBSC Poelman 020304_Blad1_JP2011" xfId="1266"/>
    <cellStyle name="_BBSC Poelman 020304_Blad1_Menucard_Staff_Master_2010-09-12" xfId="1267"/>
    <cellStyle name="_BBSC Poelman 020304_Blad1_Model Plan 2012" xfId="1268"/>
    <cellStyle name="_BBSC Poelman 020304_Menucard_Staff_Master_2010-09-12" xfId="1269"/>
    <cellStyle name="_BBSC TM 2005" xfId="1270"/>
    <cellStyle name="_BBSC TM 2005 2" xfId="4329"/>
    <cellStyle name="_BBSC TM 2005 2 2" xfId="4330"/>
    <cellStyle name="_BBSC TM 2005 3" xfId="4331"/>
    <cellStyle name="_BBSC TM 2005 3 2" xfId="4332"/>
    <cellStyle name="_BBSC TM 2005 4" xfId="4333"/>
    <cellStyle name="_BBSC TM 2005 5" xfId="4334"/>
    <cellStyle name="_BBSC TM 2005_090909 GTN - ZM master_update-GTN" xfId="1271"/>
    <cellStyle name="_BBSC TM 2005_Blad1" xfId="1272"/>
    <cellStyle name="_BBSC TM 2005_Blad1 2" xfId="1273"/>
    <cellStyle name="_BBSC TM 2005_Blad1_Blad2" xfId="1274"/>
    <cellStyle name="_BBSC TM 2005_Blad1_Blad2 2" xfId="1275"/>
    <cellStyle name="_BBSC TM 2005_Blad1_Blad2_JP2011" xfId="1276"/>
    <cellStyle name="_BBSC TM 2005_Blad1_JP2011" xfId="1277"/>
    <cellStyle name="_BBSC TM 2005_Blad1_Menucard_Staff_Master_2010-09-12" xfId="1278"/>
    <cellStyle name="_BBSC TM 2005_Blad1_Model Plan 2012" xfId="1279"/>
    <cellStyle name="_BBSC TM 2005_Menucard_Staff_Master_2010-09-12" xfId="1280"/>
    <cellStyle name="_BBSC UC 2005 concept 28 apr" xfId="1281"/>
    <cellStyle name="_bbscCC2_CableCom2003o1" xfId="1282"/>
    <cellStyle name="_bbscCC2_CableCom2003o1 2" xfId="4335"/>
    <cellStyle name="_bbscCC2_CableCom2003o1 2 2" xfId="4336"/>
    <cellStyle name="_bbscCC2_CableCom2003o1 3" xfId="4337"/>
    <cellStyle name="_bbscCC2_CableCom2003o1 3 2" xfId="4338"/>
    <cellStyle name="_bbscCC2_CableCom2003o1 4" xfId="4339"/>
    <cellStyle name="_bbscCC2_CableCom2003o1 5" xfId="4340"/>
    <cellStyle name="_bbscCC2_CableCom2003o1_090909 GTN - ZM master_update-GTN" xfId="1283"/>
    <cellStyle name="_bbscCC2_CableCom2003o1_Blad1" xfId="1284"/>
    <cellStyle name="_bbscCC2_CableCom2003o1_Blad1 2" xfId="1285"/>
    <cellStyle name="_bbscCC2_CableCom2003o1_Blad1_Blad2" xfId="1286"/>
    <cellStyle name="_bbscCC2_CableCom2003o1_Blad1_Blad2 2" xfId="1287"/>
    <cellStyle name="_bbscCC2_CableCom2003o1_Blad1_Blad2_JP2011" xfId="1288"/>
    <cellStyle name="_bbscCC2_CableCom2003o1_Blad1_JP2011" xfId="1289"/>
    <cellStyle name="_bbscCC2_CableCom2003o1_Blad1_Menucard_Staff_Master_2010-09-12" xfId="1290"/>
    <cellStyle name="_bbscCC2_CableCom2003o1_Blad1_Model Plan 2012" xfId="1291"/>
    <cellStyle name="_bbscCC2_CableCom2003o1_Menucard_Staff_Master_2010-09-12" xfId="1292"/>
    <cellStyle name="_bbscGZM1_BBSC GZM 2003 versie  21-1-20031" xfId="1293"/>
    <cellStyle name="_bbscGZM1_BBSC GZM 2003 versie  21-1-20031 2" xfId="4341"/>
    <cellStyle name="_bbscGZM1_BBSC GZM 2003 versie  21-1-20031 2 2" xfId="4342"/>
    <cellStyle name="_bbscGZM1_BBSC GZM 2003 versie  21-1-20031 3" xfId="4343"/>
    <cellStyle name="_bbscGZM1_BBSC GZM 2003 versie  21-1-20031 3 2" xfId="4344"/>
    <cellStyle name="_bbscGZM1_BBSC GZM 2003 versie  21-1-20031 4" xfId="4345"/>
    <cellStyle name="_bbscGZM1_BBSC GZM 2003 versie  21-1-20031 5" xfId="4346"/>
    <cellStyle name="_bbscGZM1_BBSC GZM 2003 versie  21-1-20031_090909 GTN - ZM master_update-GTN" xfId="1294"/>
    <cellStyle name="_bbscGZM1_BBSC GZM 2003 versie  21-1-20031_Blad1" xfId="1295"/>
    <cellStyle name="_bbscGZM1_BBSC GZM 2003 versie  21-1-20031_Blad1 2" xfId="1296"/>
    <cellStyle name="_bbscGZM1_BBSC GZM 2003 versie  21-1-20031_Blad1_Blad2" xfId="1297"/>
    <cellStyle name="_bbscGZM1_BBSC GZM 2003 versie  21-1-20031_Blad1_Blad2 2" xfId="1298"/>
    <cellStyle name="_bbscGZM1_BBSC GZM 2003 versie  21-1-20031_Blad1_Blad2_JP2011" xfId="1299"/>
    <cellStyle name="_bbscGZM1_BBSC GZM 2003 versie  21-1-20031_Blad1_JP2011" xfId="1300"/>
    <cellStyle name="_bbscGZM1_BBSC GZM 2003 versie  21-1-20031_Blad1_Menucard_Staff_Master_2010-09-12" xfId="1301"/>
    <cellStyle name="_bbscGZM1_BBSC GZM 2003 versie  21-1-20031_Blad1_Model Plan 2012" xfId="1302"/>
    <cellStyle name="_bbscGZM1_BBSC GZM 2003 versie  21-1-20031_Menucard_Staff_Master_2010-09-12" xfId="1303"/>
    <cellStyle name="_bbscKES1_BBSC KES 2003 v 220103" xfId="1304"/>
    <cellStyle name="_bbscKES1_BBSC KES 2003 v 220103 2" xfId="4347"/>
    <cellStyle name="_bbscKES1_BBSC KES 2003 v 220103 2 2" xfId="4348"/>
    <cellStyle name="_bbscKES1_BBSC KES 2003 v 220103 3" xfId="4349"/>
    <cellStyle name="_bbscKES1_BBSC KES 2003 v 220103 3 2" xfId="4350"/>
    <cellStyle name="_bbscKES1_BBSC KES 2003 v 220103 4" xfId="4351"/>
    <cellStyle name="_bbscKES1_BBSC KES 2003 v 220103 5" xfId="4352"/>
    <cellStyle name="_bbscKES1_BBSC KES 2003 v 220103_090909 GTN - ZM master_update-GTN" xfId="1305"/>
    <cellStyle name="_bbscKES1_BBSC KES 2003 v 220103_Blad1" xfId="1306"/>
    <cellStyle name="_bbscKES1_BBSC KES 2003 v 220103_Blad1 2" xfId="1307"/>
    <cellStyle name="_bbscKES1_BBSC KES 2003 v 220103_Blad1_Blad2" xfId="1308"/>
    <cellStyle name="_bbscKES1_BBSC KES 2003 v 220103_Blad1_Blad2 2" xfId="1309"/>
    <cellStyle name="_bbscKES1_BBSC KES 2003 v 220103_Blad1_Blad2_JP2011" xfId="1310"/>
    <cellStyle name="_bbscKES1_BBSC KES 2003 v 220103_Blad1_JP2011" xfId="1311"/>
    <cellStyle name="_bbscKES1_BBSC KES 2003 v 220103_Blad1_Menucard_Staff_Master_2010-09-12" xfId="1312"/>
    <cellStyle name="_bbscKES1_BBSC KES 2003 v 220103_Blad1_Model Plan 2012" xfId="1313"/>
    <cellStyle name="_bbscKES1_BBSC KES 2003 v 220103_Menucard_Staff_Master_2010-09-12" xfId="1314"/>
    <cellStyle name="_bbscMKB1_Balanced Scorecard BL VOICE MKB 2003" xfId="1315"/>
    <cellStyle name="_bbscMKB1_Balanced Scorecard BL VOICE MKB 2003 2" xfId="4353"/>
    <cellStyle name="_bbscMKB1_Balanced Scorecard BL VOICE MKB 2003 2 2" xfId="4354"/>
    <cellStyle name="_bbscMKB1_Balanced Scorecard BL VOICE MKB 2003 3" xfId="4355"/>
    <cellStyle name="_bbscMKB1_Balanced Scorecard BL VOICE MKB 2003 3 2" xfId="4356"/>
    <cellStyle name="_bbscMKB1_Balanced Scorecard BL VOICE MKB 2003 4" xfId="4357"/>
    <cellStyle name="_bbscMKB1_Balanced Scorecard BL VOICE MKB 2003 5" xfId="4358"/>
    <cellStyle name="_bbscMKB1_Balanced Scorecard BL VOICE MKB 2003_090909 GTN - ZM master_update-GTN" xfId="1316"/>
    <cellStyle name="_bbscMKB1_Balanced Scorecard BL VOICE MKB 2003_Blad1" xfId="1317"/>
    <cellStyle name="_bbscMKB1_Balanced Scorecard BL VOICE MKB 2003_Blad1 2" xfId="1318"/>
    <cellStyle name="_bbscMKB1_Balanced Scorecard BL VOICE MKB 2003_Blad1_Blad2" xfId="1319"/>
    <cellStyle name="_bbscMKB1_Balanced Scorecard BL VOICE MKB 2003_Blad1_Blad2 2" xfId="1320"/>
    <cellStyle name="_bbscMKB1_Balanced Scorecard BL VOICE MKB 2003_Blad1_Blad2_JP2011" xfId="1321"/>
    <cellStyle name="_bbscMKB1_Balanced Scorecard BL VOICE MKB 2003_Blad1_JP2011" xfId="1322"/>
    <cellStyle name="_bbscMKB1_Balanced Scorecard BL VOICE MKB 2003_Blad1_Menucard_Staff_Master_2010-09-12" xfId="1323"/>
    <cellStyle name="_bbscMKB1_Balanced Scorecard BL VOICE MKB 2003_Blad1_Model Plan 2012" xfId="1324"/>
    <cellStyle name="_bbscMKB1_Balanced Scorecard BL VOICE MKB 2003_Menucard_Staff_Master_2010-09-12" xfId="1325"/>
    <cellStyle name="_bbscSP2_ Specials 2003 versie  04-02-2003" xfId="1326"/>
    <cellStyle name="_bbscSP2_ Specials 2003 versie  04-02-2003 2" xfId="4359"/>
    <cellStyle name="_bbscSP2_ Specials 2003 versie  04-02-2003 2 2" xfId="4360"/>
    <cellStyle name="_bbscSP2_ Specials 2003 versie  04-02-2003 3" xfId="4361"/>
    <cellStyle name="_bbscSP2_ Specials 2003 versie  04-02-2003 3 2" xfId="4362"/>
    <cellStyle name="_bbscSP2_ Specials 2003 versie  04-02-2003 4" xfId="4363"/>
    <cellStyle name="_bbscSP2_ Specials 2003 versie  04-02-2003 5" xfId="4364"/>
    <cellStyle name="_bbscSP2_ Specials 2003 versie  04-02-2003_090909 GTN - ZM master_update-GTN" xfId="1327"/>
    <cellStyle name="_bbscSP2_ Specials 2003 versie  04-02-2003_Blad1" xfId="1328"/>
    <cellStyle name="_bbscSP2_ Specials 2003 versie  04-02-2003_Blad1 2" xfId="1329"/>
    <cellStyle name="_bbscSP2_ Specials 2003 versie  04-02-2003_Blad1_Blad2" xfId="1330"/>
    <cellStyle name="_bbscSP2_ Specials 2003 versie  04-02-2003_Blad1_Blad2 2" xfId="1331"/>
    <cellStyle name="_bbscSP2_ Specials 2003 versie  04-02-2003_Blad1_Blad2_JP2011" xfId="1332"/>
    <cellStyle name="_bbscSP2_ Specials 2003 versie  04-02-2003_Blad1_JP2011" xfId="1333"/>
    <cellStyle name="_bbscSP2_ Specials 2003 versie  04-02-2003_Blad1_Menucard_Staff_Master_2010-09-12" xfId="1334"/>
    <cellStyle name="_bbscSP2_ Specials 2003 versie  04-02-2003_Blad1_Model Plan 2012" xfId="1335"/>
    <cellStyle name="_bbscSP2_ Specials 2003 versie  04-02-2003_Menucard_Staff_Master_2010-09-12" xfId="1336"/>
    <cellStyle name="_bbscTM2" xfId="1337"/>
    <cellStyle name="_bbscTM2 2" xfId="4365"/>
    <cellStyle name="_bbscTM2 2 2" xfId="4366"/>
    <cellStyle name="_bbscTM2 3" xfId="4367"/>
    <cellStyle name="_bbscTM2 3 2" xfId="4368"/>
    <cellStyle name="_bbscTM2 4" xfId="4369"/>
    <cellStyle name="_bbscTM2 5" xfId="4370"/>
    <cellStyle name="_bbscTM2_090909 GTN - ZM master_update-GTN" xfId="1338"/>
    <cellStyle name="_bbscTM2_Blad1" xfId="1339"/>
    <cellStyle name="_bbscTM2_Blad1 2" xfId="1340"/>
    <cellStyle name="_bbscTM2_Blad1_Blad2" xfId="1341"/>
    <cellStyle name="_bbscTM2_Blad1_Blad2 2" xfId="1342"/>
    <cellStyle name="_bbscTM2_Blad1_Blad2_JP2011" xfId="1343"/>
    <cellStyle name="_bbscTM2_Blad1_JP2011" xfId="1344"/>
    <cellStyle name="_bbscTM2_Blad1_Menucard_Staff_Master_2010-09-12" xfId="1345"/>
    <cellStyle name="_bbscTM2_Blad1_Model Plan 2012" xfId="1346"/>
    <cellStyle name="_bbscTM2_Menucard_Staff_Master_2010-09-12" xfId="1347"/>
    <cellStyle name="_BC Format v2" xfId="1348"/>
    <cellStyle name="_BC tool ONE 3 44" xfId="154"/>
    <cellStyle name="_BC tool ONE 3 44 2" xfId="1349"/>
    <cellStyle name="_BC tool ONE 3 44 2 2" xfId="1350"/>
    <cellStyle name="_BC Wanadoo briefing Eelco Blok" xfId="155"/>
    <cellStyle name="_BC Wanadoo briefing Eelco Blok 2" xfId="4371"/>
    <cellStyle name="_BC Wanadoo briefing Eelco Blok 2 2" xfId="4372"/>
    <cellStyle name="_BC Wanadoo briefing Eelco Blok 3" xfId="4373"/>
    <cellStyle name="_BC Wanadoo briefing Eelco Blok 3 2" xfId="4374"/>
    <cellStyle name="_BC Wanadoo briefing Eelco Blok 4" xfId="4375"/>
    <cellStyle name="_BC Wanadoo briefing Eelco Blok 5" xfId="4376"/>
    <cellStyle name="_BC Wanadoo briefing Eelco Blok_EVPN Model_20102601_v0.1" xfId="156"/>
    <cellStyle name="_BC Wanadoo briefing Eelco Blok_ND5 squeeze model  whs-whs v2.21 DWDM ILL" xfId="1351"/>
    <cellStyle name="_BC Wanadoo briefing Eelco Blok_ZM IS Data Tarievenboek 2010-03-11" xfId="157"/>
    <cellStyle name="_BC-model koop versie 2 behorend bij ppt V3 6 obv bouwforecast" xfId="1352"/>
    <cellStyle name="_BEGIN_001" xfId="158"/>
    <cellStyle name="_BEGIN_001 2" xfId="159"/>
    <cellStyle name="_BEGIN_001 2 2" xfId="4377"/>
    <cellStyle name="_BEGIN_001 3" xfId="1353"/>
    <cellStyle name="_BEGIN_001 3 2" xfId="4378"/>
    <cellStyle name="_BEGIN_001 4" xfId="4379"/>
    <cellStyle name="_BEGIN_001 5" xfId="4380"/>
    <cellStyle name="_BEGIN_001_ND5 squeeze model  whs-whs v2.21 DWDM ILL" xfId="1354"/>
    <cellStyle name="_BenI" xfId="4381"/>
    <cellStyle name="_Bijlage 3-12" xfId="1355"/>
    <cellStyle name="_Bijlage 3-12 2" xfId="4382"/>
    <cellStyle name="_Bijlage 3-12 2 2" xfId="4383"/>
    <cellStyle name="_Bijlage 3-12 3" xfId="4384"/>
    <cellStyle name="_Bijlage 3-12 3 2" xfId="4385"/>
    <cellStyle name="_Bijlage 3-12 4" xfId="4386"/>
    <cellStyle name="_Bijlage 3-12 5" xfId="4387"/>
    <cellStyle name="_Bijlage 3-12_090909 GTN - ZM master_update-GTN" xfId="1356"/>
    <cellStyle name="_Bijlage 3-12_Blad1" xfId="1357"/>
    <cellStyle name="_Bijlage 3-12_Blad1 2" xfId="1358"/>
    <cellStyle name="_Bijlage 3-12_Blad1_Blad2" xfId="1359"/>
    <cellStyle name="_Bijlage 3-12_Blad1_Blad2 2" xfId="1360"/>
    <cellStyle name="_Bijlage 3-12_Blad1_Blad2_JP2011" xfId="1361"/>
    <cellStyle name="_Bijlage 3-12_Blad1_JP2011" xfId="1362"/>
    <cellStyle name="_Bijlage 3-12_Blad1_Menucard_Staff_Master_2010-09-12" xfId="1363"/>
    <cellStyle name="_Bijlage 3-12_Blad1_Model Plan 2012" xfId="1364"/>
    <cellStyle name="_Bijlage 3-12_Menucard_Staff_Master_2010-09-12" xfId="1365"/>
    <cellStyle name="_Bijlage 8 Informatieprofiel versie 0.21" xfId="1366"/>
    <cellStyle name="_Bijlage 8 Informatieprofiel versie 0.21 2" xfId="1367"/>
    <cellStyle name="_Bijlage 8 Informatieprofiel versie 0.21 2 2" xfId="4388"/>
    <cellStyle name="_Bijlage 8 Informatieprofiel versie 0.21 3" xfId="4389"/>
    <cellStyle name="_Bijlage 8 Informatieprofiel versie 0.21 3 2" xfId="4390"/>
    <cellStyle name="_Bijlage 8 Informatieprofiel versie 0.21 4" xfId="4391"/>
    <cellStyle name="_Bijlage 8 Informatieprofiel versie 0.21 5" xfId="4392"/>
    <cellStyle name="_Bijlage 8 Informatieprofiel versie 0.21_FC categoraal" xfId="1368"/>
    <cellStyle name="_Bijlage 8 Informatieprofiel versie 0.21_GDC nieuwe pfc cc jan  2011 v4" xfId="1369"/>
    <cellStyle name="_Bijlage 8 Informatieprofiel versie 0.21_JP2011" xfId="1370"/>
    <cellStyle name="_Bijlage 8 Informatieprofiel versie 0.21_JP2011 2" xfId="1371"/>
    <cellStyle name="_Bijlage 8 Informatieprofiel versie 0.21_JP2011_1" xfId="1372"/>
    <cellStyle name="_Bijlage 8 Informatieprofiel versie 0.21_Pivot" xfId="4393"/>
    <cellStyle name="_Bijlage 8 Informatieprofiel versie 0.21_PPT Link" xfId="4394"/>
    <cellStyle name="_Bijlage 8 Informatieprofiel versie 0.21_Preclosing" xfId="1373"/>
    <cellStyle name="_Bijlage 8 Informatieprofiel versie 0.21_Preclosing 2" xfId="1374"/>
    <cellStyle name="_Bijlage 8 Informatieprofiel versie 0.21_Preclosing jan11" xfId="1375"/>
    <cellStyle name="_Bijlage 8 Informatieprofiel versie 0.21_Preclosing_1" xfId="1376"/>
    <cellStyle name="_Bijlage 8 Informatieprofiel versie 0.21_Preclosing_2" xfId="1377"/>
    <cellStyle name="_Bijlage 8 Informatieprofiel versie 0.21_Preclosing_3" xfId="1378"/>
    <cellStyle name="_Bijlage 8 Informatieprofiel versie 0.21_Preclosing_FC categoraal" xfId="1379"/>
    <cellStyle name="_Bijlage 8 Informatieprofiel versie 0.21_Sheet1" xfId="1380"/>
    <cellStyle name="_Bijlage 8 Informatieprofiel versie 0.21_Sheet1_1" xfId="1381"/>
    <cellStyle name="_Bijlage 8 Informatieprofiel versie 0.21_Sheet1_1 2" xfId="1382"/>
    <cellStyle name="_Bijlage 8 Informatieprofiel versie 0.21_Sheet1_1_FC categoraal" xfId="1383"/>
    <cellStyle name="_Bijlage 8 Informatieprofiel versie 0.21_Sheet1_2" xfId="1384"/>
    <cellStyle name="_Bijlage 8 Informatieprofiel versie 0.21_Sheet1_2 2" xfId="1385"/>
    <cellStyle name="_Bijlage 8 Informatieprofiel versie 0.21_Sheet2" xfId="1386"/>
    <cellStyle name="_Bijlage 8a Informatieprofiel BU CS Q2 20041" xfId="1387"/>
    <cellStyle name="_Bijlage 8a Informatieprofiel BU CS Q2 20041_Book2" xfId="1388"/>
    <cellStyle name="_Bijlage 8a Informatieprofiel BU CS Q2 20041_Book3" xfId="1389"/>
    <cellStyle name="_Bijlage 8a Informatieprofiel BU CS Q2 20041_ICS KPI" xfId="1390"/>
    <cellStyle name="_Blad1" xfId="1391"/>
    <cellStyle name="_Blad1 2" xfId="4396"/>
    <cellStyle name="_Blad1 2 2" xfId="4397"/>
    <cellStyle name="_Blad1 3" xfId="4398"/>
    <cellStyle name="_Blad1 3 2" xfId="4399"/>
    <cellStyle name="_Blad1 4" xfId="4400"/>
    <cellStyle name="_Blad1 5" xfId="4401"/>
    <cellStyle name="_Blad1 6" xfId="4395"/>
    <cellStyle name="_Blad1_1" xfId="4402"/>
    <cellStyle name="_Blad1_100630 Market ZM voor RvB - FINAL" xfId="4403"/>
    <cellStyle name="_Blad1_100630 Market ZM voor RvB - FINAL 2" xfId="4404"/>
    <cellStyle name="_Blad1_100630 Market ZM voor RvB - FINAL 2 2" xfId="4405"/>
    <cellStyle name="_Blad1_100630 Market ZM voor RvB - FINAL 3" xfId="4406"/>
    <cellStyle name="_Blad1_100630 Market ZM voor RvB - FINAL 3 2" xfId="4407"/>
    <cellStyle name="_Blad1_100630 Market ZM voor RvB - FINAL 4" xfId="4408"/>
    <cellStyle name="_Blad1_100630 Market ZM voor RvB - FINAL 5" xfId="4409"/>
    <cellStyle name="_Blad1_110810_Overzicht_Orderintake" xfId="4410"/>
    <cellStyle name="_Blad1_BenI" xfId="4411"/>
    <cellStyle name="_Blad1_Fixed Data" xfId="4412"/>
    <cellStyle name="_Blad1_Fixed Data PQ" xfId="4413"/>
    <cellStyle name="_Blad1_SWOL" xfId="4414"/>
    <cellStyle name="_Boeing - 08 V1" xfId="1392"/>
    <cellStyle name="_Book1" xfId="1393"/>
    <cellStyle name="_Book2" xfId="160"/>
    <cellStyle name="_Book2 2" xfId="161"/>
    <cellStyle name="_Book2 3" xfId="1394"/>
    <cellStyle name="_Book2_ND5 squeeze model  whs-whs v2.21 DWDM ILL" xfId="1395"/>
    <cellStyle name="_BOOKER - 08 TEMPLATE (2)_PST_November6th" xfId="1396"/>
    <cellStyle name="_bootom up ARPU omzet v5" xfId="4415"/>
    <cellStyle name="_bottom up 2012 vs 1 (3)" xfId="4416"/>
    <cellStyle name="_Bottom Up Maart" xfId="162"/>
    <cellStyle name="_Bottom Up Maart 2" xfId="163"/>
    <cellStyle name="_Bottom Up Maart 2 2" xfId="4417"/>
    <cellStyle name="_Bottom Up Maart 3" xfId="1397"/>
    <cellStyle name="_Bottom Up Maart 3 2" xfId="4418"/>
    <cellStyle name="_Bottom Up Maart 4" xfId="4419"/>
    <cellStyle name="_Bottom Up Maart 5" xfId="4420"/>
    <cellStyle name="_Bottom Up Maart_110810_Overzicht_Orderintake" xfId="4421"/>
    <cellStyle name="_Bottom Up Maart_20080530 Consolidatie Businessplan v12" xfId="1398"/>
    <cellStyle name="_Bottom Up Maart_20080530 Consolidatie Businessplan v12 2" xfId="1399"/>
    <cellStyle name="_Bottom Up Maart_20080530 Consolidatie Businessplan v12 2 2" xfId="4422"/>
    <cellStyle name="_Bottom Up Maart_20080530 Consolidatie Businessplan v12 3" xfId="4423"/>
    <cellStyle name="_Bottom Up Maart_20080530 Consolidatie Businessplan v12 3 2" xfId="4424"/>
    <cellStyle name="_Bottom Up Maart_20080530 Consolidatie Businessplan v12 4" xfId="4425"/>
    <cellStyle name="_Bottom Up Maart_20080530 Consolidatie Businessplan v12 5" xfId="4426"/>
    <cellStyle name="_Bottom Up Maart_20080530 Consolidatie Businessplan v12_Blad2" xfId="1400"/>
    <cellStyle name="_Bottom Up Maart_20080530 Consolidatie Businessplan v12_Blad2 2" xfId="1401"/>
    <cellStyle name="_Bottom Up Maart_20080530 Consolidatie Businessplan v12_Blad2_JP2011" xfId="1402"/>
    <cellStyle name="_Bottom Up Maart_20080530 Consolidatie Businessplan v12_JP2011" xfId="1403"/>
    <cellStyle name="_Bottom Up Maart_20080530 Consolidatie Businessplan v12_Model Plan 2012" xfId="1404"/>
    <cellStyle name="_Bottom Up Maart_20080605 Consolidatie Businessplan v15" xfId="1405"/>
    <cellStyle name="_Bottom Up Maart_20080605 Consolidatie Businessplan v15 2" xfId="1406"/>
    <cellStyle name="_Bottom Up Maart_20080605 Consolidatie Businessplan v15 2 2" xfId="4427"/>
    <cellStyle name="_Bottom Up Maart_20080605 Consolidatie Businessplan v15 3" xfId="4428"/>
    <cellStyle name="_Bottom Up Maart_20080605 Consolidatie Businessplan v15 3 2" xfId="4429"/>
    <cellStyle name="_Bottom Up Maart_20080605 Consolidatie Businessplan v15 4" xfId="4430"/>
    <cellStyle name="_Bottom Up Maart_20080605 Consolidatie Businessplan v15 5" xfId="4431"/>
    <cellStyle name="_Bottom Up Maart_20080605 Consolidatie Businessplan v15_Blad2" xfId="1407"/>
    <cellStyle name="_Bottom Up Maart_20080605 Consolidatie Businessplan v15_Blad2 2" xfId="1408"/>
    <cellStyle name="_Bottom Up Maart_20080605 Consolidatie Businessplan v15_Blad2_JP2011" xfId="1409"/>
    <cellStyle name="_Bottom Up Maart_20080605 Consolidatie Businessplan v15_JP2011" xfId="1410"/>
    <cellStyle name="_Bottom Up Maart_20080605 Consolidatie Businessplan v15_Model Plan 2012" xfId="1411"/>
    <cellStyle name="_Bottom Up Maart_20080605 Consolidatie Businessplan v19" xfId="1412"/>
    <cellStyle name="_Bottom Up Maart_20080605 Consolidatie Businessplan v19 2" xfId="1413"/>
    <cellStyle name="_Bottom Up Maart_20080605 Consolidatie Businessplan v19 2 2" xfId="4432"/>
    <cellStyle name="_Bottom Up Maart_20080605 Consolidatie Businessplan v19 3" xfId="4433"/>
    <cellStyle name="_Bottom Up Maart_20080605 Consolidatie Businessplan v19 3 2" xfId="4434"/>
    <cellStyle name="_Bottom Up Maart_20080605 Consolidatie Businessplan v19 4" xfId="4435"/>
    <cellStyle name="_Bottom Up Maart_20080605 Consolidatie Businessplan v19 5" xfId="4436"/>
    <cellStyle name="_Bottom Up Maart_20080605 Consolidatie Businessplan v19_Blad2" xfId="1414"/>
    <cellStyle name="_Bottom Up Maart_20080605 Consolidatie Businessplan v19_Blad2 2" xfId="1415"/>
    <cellStyle name="_Bottom Up Maart_20080605 Consolidatie Businessplan v19_Blad2_JP2011" xfId="1416"/>
    <cellStyle name="_Bottom Up Maart_20080605 Consolidatie Businessplan v19_JP2011" xfId="1417"/>
    <cellStyle name="_Bottom Up Maart_20080605 Consolidatie Businessplan v19_Model Plan 2012" xfId="1418"/>
    <cellStyle name="_Bottom Up Maart_BenI" xfId="4437"/>
    <cellStyle name="_Bottom Up Maart_Blad2" xfId="1419"/>
    <cellStyle name="_Bottom Up Maart_Blad2 2" xfId="1420"/>
    <cellStyle name="_Bottom Up Maart_Blad2_JP2011" xfId="1421"/>
    <cellStyle name="_Bottom Up Maart_Fixed Data" xfId="4438"/>
    <cellStyle name="_Bottom Up Maart_JP2011" xfId="1422"/>
    <cellStyle name="_Bottom Up Maart_Model Plan 2012" xfId="1423"/>
    <cellStyle name="_Bottom Up Maart_ND5 squeeze model  whs-whs v2.21 DWDM ILL" xfId="1424"/>
    <cellStyle name="_Bottom Up Maart_OIT data LE,SCM,INS,targets" xfId="4439"/>
    <cellStyle name="_Bottom Up Maart_SWOL" xfId="4440"/>
    <cellStyle name="_BP 2007-2009 FTE + kosten BS OP (vs 2)" xfId="164"/>
    <cellStyle name="_BP 2007-2009 FTE + kosten BS OP (vs 2) 2" xfId="165"/>
    <cellStyle name="_BP 2007-2009 FTE + kosten BS OP (vs 2) 3" xfId="1425"/>
    <cellStyle name="_BP 2007-2009 FTE + kosten BS OP (vs 2)_ND5 squeeze model  whs-whs v2.21 DWDM ILL" xfId="1426"/>
    <cellStyle name="_BP 2007-2009 ronde 3     Inputblad FTE" xfId="166"/>
    <cellStyle name="_BP 2007-2009 Totaal overzicht WSO en NS 11-10-2006" xfId="167"/>
    <cellStyle name="_BP 2007-2009 Totaal overzicht WSO en NS 11-10-2006 2" xfId="168"/>
    <cellStyle name="_BP 2007-2009 Totaal overzicht WSO en NS 11-10-2006 3" xfId="1427"/>
    <cellStyle name="_BP 2007-2009 Totaal overzicht WSO en NS 11-10-2006_ND5 squeeze model  whs-whs v2.21 DWDM ILL" xfId="1428"/>
    <cellStyle name="_BP 2008-2010 invoersheet RE004 Voice Services Joost" xfId="1429"/>
    <cellStyle name="_BP 2008-2010 invoersheet RE004 Voice Services Joost 2" xfId="1430"/>
    <cellStyle name="_BP 2008-2010 invoersheet RE004 Voice Services Joost 2 2" xfId="4441"/>
    <cellStyle name="_BP 2008-2010 invoersheet RE004 Voice Services Joost 3" xfId="4442"/>
    <cellStyle name="_BP 2008-2010 invoersheet RE004 Voice Services Joost 3 2" xfId="4443"/>
    <cellStyle name="_BP 2008-2010 invoersheet RE004 Voice Services Joost 4" xfId="4444"/>
    <cellStyle name="_BP 2008-2010 invoersheet RE004 Voice Services Joost 5" xfId="4445"/>
    <cellStyle name="_BP 2008-2010 invoersheet RE004 Voice Services Joost_Blad2" xfId="1431"/>
    <cellStyle name="_BP 2008-2010 invoersheet RE004 Voice Services Joost_Blad2 2" xfId="1432"/>
    <cellStyle name="_BP 2008-2010 invoersheet RE004 Voice Services Joost_Blad2_JP2011" xfId="1433"/>
    <cellStyle name="_BP 2008-2010 invoersheet RE004 Voice Services Joost_JP2011" xfId="1434"/>
    <cellStyle name="_BP 2008-2010 invoersheet RE004 Voice Services Joost_Model Plan 2012" xfId="1435"/>
    <cellStyle name="_BP 2010-2012 versie 19 mei 2009 (met fill the gap, JEV 196, BP 228)" xfId="4446"/>
    <cellStyle name="_BP 2010-2012 versie 19 mei 2009 (met fill the gap, JEV 196, BP 228) 2" xfId="4447"/>
    <cellStyle name="_BP 2010-2012 versie 19 mei 2009 (met fill the gap, JEV 196, BP 228) 2 2" xfId="4448"/>
    <cellStyle name="_BP 2010-2012 versie 19 mei 2009 (met fill the gap, JEV 196, BP 228) 3" xfId="4449"/>
    <cellStyle name="_BP 2010-2012 versie 19 mei 2009 (met fill the gap, JEV 196, BP 228) 3 2" xfId="4450"/>
    <cellStyle name="_BP 2010-2012 versie 19 mei 2009 (met fill the gap, JEV 196, BP 228) 4" xfId="4451"/>
    <cellStyle name="_BP 2010-2012 versie 19 mei 2009 (met fill the gap, JEV 196, BP 228) 5" xfId="4452"/>
    <cellStyle name="_BP 2010-2012 versie 19 mei 2009 (met fill the gap, JEV 196, BP 228)_110810_Overzicht_Orderintake" xfId="4453"/>
    <cellStyle name="_BP 2010-2012 versie 19 mei 2009 (met fill the gap, JEV 196, BP 228)_BenI" xfId="4454"/>
    <cellStyle name="_BP 2010-2012 versie 19 mei 2009 (met fill the gap, JEV 196, BP 228)_Fixed Data" xfId="4455"/>
    <cellStyle name="_BP 2010-2012 versie 19 mei 2009 (met fill the gap, JEV 196, BP 228)_SWOL" xfId="4456"/>
    <cellStyle name="_BP Con 2005 concept" xfId="169"/>
    <cellStyle name="_BP Con 2005 concept 2" xfId="170"/>
    <cellStyle name="_BP Con 2005 concept 3" xfId="1436"/>
    <cellStyle name="_BP Con 2005 concept_ND5 squeeze model  whs-whs v2.21 DWDM ILL" xfId="1437"/>
    <cellStyle name="_BP Distributie '08 - '10 - v0 6 concept (2)" xfId="4457"/>
    <cellStyle name="_BP Distributie '08 - '10 - v2 2 concept Generiek" xfId="4458"/>
    <cellStyle name="_BP ILL 2005-2007_v3" xfId="171"/>
    <cellStyle name="_BP ILL 2005-2007_v3 2" xfId="172"/>
    <cellStyle name="_BP ILL 2005-2007_v3 3" xfId="1438"/>
    <cellStyle name="_BP ILL 2005-2007_v3_ND5 squeeze model  whs-whs v2.21 DWDM ILL" xfId="1439"/>
    <cellStyle name="_BP ILL forecast 07-08-09 V0 2" xfId="173"/>
    <cellStyle name="_BP ILL forecast 07-08-09 V0 2_LPM PL 20101014 Concept" xfId="1440"/>
    <cellStyle name="_BP ILL forecast 07-08-09 V0 2_LPM PL 20101028 obv LRIC inkoop" xfId="1441"/>
    <cellStyle name="_BP ILL forecast 07-08-09 V0 2_ND5 squeeze model  whs-whs v2.21 DWDM ILL" xfId="1442"/>
    <cellStyle name="_BP ILL forecast 07-08-09 V0 3 (concept)" xfId="174"/>
    <cellStyle name="_BP ILL forecast 07-08-09 V0 3 (concept)_LPM PL 20101014 Concept" xfId="1443"/>
    <cellStyle name="_BP ILL forecast 07-08-09 V0 3 (concept)_LPM PL 20101028 obv LRIC inkoop" xfId="1444"/>
    <cellStyle name="_BP ILL forecast 07-08-09 V0 3 (concept)_ND5 squeeze model  whs-whs v2.21 DWDM ILL" xfId="1445"/>
    <cellStyle name="_BP Update-PFM VOice services-1jun06" xfId="175"/>
    <cellStyle name="_BP Update-PFM VOice services-1jun06 2" xfId="176"/>
    <cellStyle name="_BP Update-PFM VOice services-1jun06 3" xfId="1446"/>
    <cellStyle name="_BP Update-PFM VOice services-1jun06_ND5 squeeze model  whs-whs v2.21 DWDM ILL" xfId="1447"/>
    <cellStyle name="_BP2009V02 2008_05 29" xfId="1448"/>
    <cellStyle name="_BP2009V02 2008_05 29 2" xfId="1449"/>
    <cellStyle name="_BP2009V02 2008_05 29_2008-07-01 aktiepunten NLB" xfId="4459"/>
    <cellStyle name="_BP2009V02 2008_05 29_2008-07-01 aktiepunten NLB 2" xfId="4460"/>
    <cellStyle name="_BP2009V02 2008_05 29_2008-07-01 aktiepunten NLB 2 2" xfId="4461"/>
    <cellStyle name="_BP2009V02 2008_05 29_2008-07-01 aktiepunten NLB 3" xfId="4462"/>
    <cellStyle name="_BP2009V02 2008_05 29_2008-07-01 aktiepunten NLB 3 2" xfId="4463"/>
    <cellStyle name="_BP2009V02 2008_05 29_2008-07-01 aktiepunten NLB 4" xfId="4464"/>
    <cellStyle name="_BP2009V02 2008_05 29_2008-07-01 aktiepunten NLB 5" xfId="4465"/>
    <cellStyle name="_BP2009V02 2008_05 29_Blad2" xfId="1450"/>
    <cellStyle name="_BP2009V02 2008_05 29_Blad2 2" xfId="1451"/>
    <cellStyle name="_BP2009V02 2008_05 29_Blad2_JP2011" xfId="1452"/>
    <cellStyle name="_BP2009V02 2008_05 29_JP2011" xfId="1453"/>
    <cellStyle name="_BP2009V02 2008_05 29_Model Plan 2012" xfId="1454"/>
    <cellStyle name="_bp2012 B&amp;I met details_031111" xfId="4466"/>
    <cellStyle name="_bp2012 BI met details" xfId="4467"/>
    <cellStyle name="_BPR_Entity_July08_v3" xfId="1455"/>
    <cellStyle name="_BPR_Entity_July08_v3_Blad2" xfId="1456"/>
    <cellStyle name="_BPR_Entity_July08_v3_Blad2 2" xfId="1457"/>
    <cellStyle name="_BPR_Entity_July08_v3_Blad2_JP2011" xfId="1458"/>
    <cellStyle name="_BPR_Entity_July08_v3_Book2" xfId="1459"/>
    <cellStyle name="_BPR_Entity_July08_v3_Book3" xfId="1460"/>
    <cellStyle name="_BPR_Entity_July08_v3_Direct (Projects)" xfId="1461"/>
    <cellStyle name="_BPR_Entity_July08_v3_Excel sheets updated of strategy sessions  Rmc" xfId="1462"/>
    <cellStyle name="_BPR_Entity_July08_v3_ICS KPI" xfId="1463"/>
    <cellStyle name="_BPR_Entity_July08_v3_JP2011" xfId="1464"/>
    <cellStyle name="_BPR_Entity_July08_v3_JP2011 2" xfId="1465"/>
    <cellStyle name="_BPR_Entity_July08_v3_Model Plan 2012" xfId="1466"/>
    <cellStyle name="_BPR_Entity_July08_v3_Sheet1" xfId="1467"/>
    <cellStyle name="_BPR_Entity_July08_v3_Sheet1_Book2" xfId="1468"/>
    <cellStyle name="_BPR_Entity_July08_v3_Sheet1_Book3" xfId="1469"/>
    <cellStyle name="_BPR_Entity_July08_v3_Sheet1_ICS KPI" xfId="1470"/>
    <cellStyle name="_Branches" xfId="4468"/>
    <cellStyle name="_Britania BS - 08 V1" xfId="1471"/>
    <cellStyle name="_Broadcasting&amp;Cable" xfId="4469"/>
    <cellStyle name="_Brugstaat OLS" xfId="1472"/>
    <cellStyle name="_Brugstaat OLS 2" xfId="1473"/>
    <cellStyle name="_Brugstaat OLS_JP2011" xfId="1474"/>
    <cellStyle name="_brugstaat plan opex" xfId="177"/>
    <cellStyle name="_brugstaat plan opex 2" xfId="178"/>
    <cellStyle name="_brugstaat plan opex 3" xfId="1475"/>
    <cellStyle name="_brugstaat plan opex_ND5 squeeze model  whs-whs v2.21 DWDM ILL" xfId="1476"/>
    <cellStyle name="_BS JP 2007" xfId="179"/>
    <cellStyle name="_BS MPM totaalsheet November (06122006)(Final)" xfId="180"/>
    <cellStyle name="_BS_126014_MI_P12" xfId="1477"/>
    <cellStyle name="_BS_126014_MI_P12 2" xfId="1478"/>
    <cellStyle name="_BS_126014_MI_P12 3" xfId="1479"/>
    <cellStyle name="_BS_130504_spec 310308" xfId="1480"/>
    <cellStyle name="_BS_130504_spec 310308 2" xfId="1481"/>
    <cellStyle name="_BS_130504_spec 310308 3" xfId="1482"/>
    <cellStyle name="_BS_130504_VA NSDM_P11_ 2007" xfId="1483"/>
    <cellStyle name="_BS_130504_VA%20NSDM_P12_%202007(1)" xfId="1484"/>
    <cellStyle name="_BS_130504_VA%20NSDM_P12_%202007(1) 2" xfId="1485"/>
    <cellStyle name="_BS_130504_VA%20NSDM_P12_%202007(1) 3" xfId="1486"/>
    <cellStyle name="_Budgeted Vs Actuals - SOUTHERN REGION  V1" xfId="1487"/>
    <cellStyle name="_Budgeted Vs Actuals - SOUTHERN REGION  V2" xfId="1488"/>
    <cellStyle name="_Budgetverdeling_BC_2007_LE_SME_definitief_4dec06" xfId="1489"/>
    <cellStyle name="_Budgetverdeling_BC_2007_LE_SME_definitief_4dec06 2" xfId="1490"/>
    <cellStyle name="_Budgetverdeling_BC_2007_LE_SME_definitief_4dec06 2 2" xfId="4470"/>
    <cellStyle name="_Budgetverdeling_BC_2007_LE_SME_definitief_4dec06 3" xfId="4471"/>
    <cellStyle name="_Budgetverdeling_BC_2007_LE_SME_definitief_4dec06 3 2" xfId="4472"/>
    <cellStyle name="_Budgetverdeling_BC_2007_LE_SME_definitief_4dec06 4" xfId="4473"/>
    <cellStyle name="_Budgetverdeling_BC_2007_LE_SME_definitief_4dec06 5" xfId="4474"/>
    <cellStyle name="_Budgetverdeling_BC_2007_LE_SME_definitief_4dec06_Blad2" xfId="1491"/>
    <cellStyle name="_Budgetverdeling_BC_2007_LE_SME_definitief_4dec06_Blad2 2" xfId="1492"/>
    <cellStyle name="_Budgetverdeling_BC_2007_LE_SME_definitief_4dec06_Blad2_JP2011" xfId="1493"/>
    <cellStyle name="_Budgetverdeling_BC_2007_LE_SME_definitief_4dec06_JP2011" xfId="1494"/>
    <cellStyle name="_Budgetverdeling_BC_2007_LE_SME_definitief_4dec06_Model Plan 2012" xfId="1495"/>
    <cellStyle name="_Business case" xfId="1496"/>
    <cellStyle name="_Business case - forecast V1 7" xfId="1497"/>
    <cellStyle name="_Business case - forecast V7 8 RvB v2" xfId="1498"/>
    <cellStyle name="_Business case - forecast V7 9" xfId="1499"/>
    <cellStyle name="_business case CC Haarlem v2 0 huur" xfId="1500"/>
    <cellStyle name="_Business case Hosting Almere v4" xfId="1501"/>
    <cellStyle name="_Business case Hosting Almere v4 2" xfId="1502"/>
    <cellStyle name="_Business model KPN TV '08 - '10 - v08 concept" xfId="1503"/>
    <cellStyle name="_Business model KPN TV '08 - '10 - v1.6 concept Oude base" xfId="4475"/>
    <cellStyle name="_Business Plan" xfId="4476"/>
    <cellStyle name="_BusinessBalanced Scorecard MNS draft 2007" xfId="1504"/>
    <cellStyle name="_BusinessPlan 2007-2009 DVB-T + IP-TV" xfId="1505"/>
    <cellStyle name="_BusinessPlan DVB-T v15 value for money op 795" xfId="1506"/>
    <cellStyle name="_Busplan BS 07 0107 aantallen+WBA omzet" xfId="181"/>
    <cellStyle name="_Busplan BS 07 0107 aantallen+WBA omzet 2" xfId="182"/>
    <cellStyle name="_Busplan BS 07 0107 aantallen+WBA omzet 3" xfId="1507"/>
    <cellStyle name="_Busplan BS 07 0107 aantallen+WBA omzet_ND5 squeeze model  whs-whs v2.21 DWDM ILL" xfId="1508"/>
    <cellStyle name="_BVO RAPPORTAGE juni 07 werkdocument" xfId="4477"/>
    <cellStyle name="_BVO RAPPORTAGE juni 07 werkdocument_CapexBoard" xfId="4478"/>
    <cellStyle name="_BVO RAPPORTAGE juni 07 werkdocument_CapexBoard 2" xfId="4479"/>
    <cellStyle name="_Calculatieblad_Opgaaf_Sectorv0 1" xfId="1509"/>
    <cellStyle name="_CAPEX JP 2003- BP 2004 in flying bricks" xfId="183"/>
    <cellStyle name="_capex overzicht 25-6-09 v2 (2)" xfId="4480"/>
    <cellStyle name="_Capex spreadsheet voor bespreking_bw_RvB (GB2bw)" xfId="4481"/>
    <cellStyle name="_CapEx verdeling" xfId="4482"/>
    <cellStyle name="_CAPEX verloopoverzicht mrt" xfId="4483"/>
    <cellStyle name="_CAPEX verloopoverzicht mrt 2" xfId="4484"/>
    <cellStyle name="_CAPEX verloopoverzicht mrt 2 2" xfId="4485"/>
    <cellStyle name="_CAPEX verloopoverzicht mrt 3" xfId="4486"/>
    <cellStyle name="_CAPEX verloopoverzicht mrt 3 2" xfId="4487"/>
    <cellStyle name="_CAPEX verloopoverzicht mrt 4" xfId="4488"/>
    <cellStyle name="_CAPEX verloopoverzicht mrt 5" xfId="4489"/>
    <cellStyle name="_CapexBoard" xfId="4490"/>
    <cellStyle name="_CAPEX-jev q2 draft" xfId="1510"/>
    <cellStyle name="_Capexrapportage dec 2009_final" xfId="4491"/>
    <cellStyle name="_Capexrapportage dec 2009_final 2" xfId="4492"/>
    <cellStyle name="_Capexrapportage dec 2009_final 2 2" xfId="4493"/>
    <cellStyle name="_Capexrapportage dec 2009_final 3" xfId="4494"/>
    <cellStyle name="_Capexrapportage dec 2009_final 3 2" xfId="4495"/>
    <cellStyle name="_Capexrapportage dec 2009_final 4" xfId="4496"/>
    <cellStyle name="_Capexrapportage dec 2009_final 5" xfId="4497"/>
    <cellStyle name="_Capexrapportage mrt 2010_WD8" xfId="4498"/>
    <cellStyle name="_Capexrapportage mrt 2010_WD8 2" xfId="4499"/>
    <cellStyle name="_Capexrapportage mrt 2010_WD8 2 2" xfId="4500"/>
    <cellStyle name="_Capexrapportage mrt 2010_WD8 3" xfId="4501"/>
    <cellStyle name="_Capexrapportage mrt 2010_WD8 3 2" xfId="4502"/>
    <cellStyle name="_Capexrapportage mrt 2010_WD8 4" xfId="4503"/>
    <cellStyle name="_Capexrapportage mrt 2010_WD8 5" xfId="4504"/>
    <cellStyle name="_Capexverdeling 2008,2009, 2010 nieuw format" xfId="4505"/>
    <cellStyle name="_Capexverdeling 2008,2009, 2010 nieuw format 2" xfId="4506"/>
    <cellStyle name="_Capexverdeling 2008,2009, 2010 nieuw format 2 2" xfId="4507"/>
    <cellStyle name="_Capexverdeling 2008,2009, 2010 nieuw format 3" xfId="4508"/>
    <cellStyle name="_Capexverdeling 2008,2009, 2010 nieuw format 3 2" xfId="4509"/>
    <cellStyle name="_Capexverdeling 2008,2009, 2010 nieuw format 4" xfId="4510"/>
    <cellStyle name="_Capexverdeling 2008,2009, 2010 nieuw format 5" xfId="4511"/>
    <cellStyle name="_CBI - 08 MATT ARNOLD update" xfId="1511"/>
    <cellStyle name="_CCAL versie 7 (5000m2)" xfId="1512"/>
    <cellStyle name="_CCS_P en L totaalsheet v10 25-08-2006" xfId="1513"/>
    <cellStyle name="_CCS_P en L totaalsheet v10 25-08-2006 2" xfId="1514"/>
    <cellStyle name="_CCS_P en L totaalsheet v10 25-08-2006 2 2" xfId="4512"/>
    <cellStyle name="_CCS_P en L totaalsheet v10 25-08-2006 3" xfId="4513"/>
    <cellStyle name="_CCS_P en L totaalsheet v10 25-08-2006 3 2" xfId="4514"/>
    <cellStyle name="_CCS_P en L totaalsheet v10 25-08-2006 4" xfId="4515"/>
    <cellStyle name="_CCS_P en L totaalsheet v10 25-08-2006 5" xfId="4516"/>
    <cellStyle name="_CCS_P en L totaalsheet v10 25-08-2006_Blad2" xfId="1515"/>
    <cellStyle name="_CCS_P en L totaalsheet v10 25-08-2006_Blad2 2" xfId="1516"/>
    <cellStyle name="_CCS_P en L totaalsheet v10 25-08-2006_Blad2_JP2011" xfId="1517"/>
    <cellStyle name="_CCS_P en L totaalsheet v10 25-08-2006_JP2011" xfId="1518"/>
    <cellStyle name="_CCS_P en L totaalsheet v10 25-08-2006_Model Plan 2012" xfId="1519"/>
    <cellStyle name="_CE en IC Definitie" xfId="4517"/>
    <cellStyle name="_CE en IC Definitie 2" xfId="4518"/>
    <cellStyle name="_CE en IC Definitie 2 2" xfId="4519"/>
    <cellStyle name="_CE en IC Definitie 3" xfId="4520"/>
    <cellStyle name="_CE en IC Definitie 3 2" xfId="4521"/>
    <cellStyle name="_CE en IC Definitie 4" xfId="4522"/>
    <cellStyle name="_CE en IC Definitie 5" xfId="4523"/>
    <cellStyle name="_Check" xfId="1520"/>
    <cellStyle name="_Check 13 weeks cash forecast" xfId="1521"/>
    <cellStyle name="_Check met output OLS" xfId="1522"/>
    <cellStyle name="_Check met output OLS 2" xfId="1523"/>
    <cellStyle name="_Check met output OLS_JP2011" xfId="1524"/>
    <cellStyle name="_Check_Sheet1" xfId="1525"/>
    <cellStyle name="_Churn 2004" xfId="184"/>
    <cellStyle name="_Churn 2004 2" xfId="185"/>
    <cellStyle name="_Churn 2004 2 2" xfId="4524"/>
    <cellStyle name="_Churn 2004 3" xfId="1526"/>
    <cellStyle name="_Churn 2004 3 2" xfId="4525"/>
    <cellStyle name="_Churn 2004 4" xfId="4526"/>
    <cellStyle name="_Churn 2004 5" xfId="4527"/>
    <cellStyle name="_Churn 2004_110810_Overzicht_Orderintake" xfId="4528"/>
    <cellStyle name="_Churn 2004_20080530 Consolidatie Businessplan v12" xfId="1527"/>
    <cellStyle name="_Churn 2004_20080530 Consolidatie Businessplan v12 2" xfId="1528"/>
    <cellStyle name="_Churn 2004_20080530 Consolidatie Businessplan v12 2 2" xfId="4529"/>
    <cellStyle name="_Churn 2004_20080530 Consolidatie Businessplan v12 3" xfId="4530"/>
    <cellStyle name="_Churn 2004_20080530 Consolidatie Businessplan v12 3 2" xfId="4531"/>
    <cellStyle name="_Churn 2004_20080530 Consolidatie Businessplan v12 4" xfId="4532"/>
    <cellStyle name="_Churn 2004_20080530 Consolidatie Businessplan v12 5" xfId="4533"/>
    <cellStyle name="_Churn 2004_20080530 Consolidatie Businessplan v12_Blad2" xfId="1529"/>
    <cellStyle name="_Churn 2004_20080530 Consolidatie Businessplan v12_Blad2 2" xfId="1530"/>
    <cellStyle name="_Churn 2004_20080530 Consolidatie Businessplan v12_Blad2_JP2011" xfId="1531"/>
    <cellStyle name="_Churn 2004_20080530 Consolidatie Businessplan v12_JP2011" xfId="1532"/>
    <cellStyle name="_Churn 2004_20080530 Consolidatie Businessplan v12_Model Plan 2012" xfId="1533"/>
    <cellStyle name="_Churn 2004_20080605 Consolidatie Businessplan v15" xfId="1534"/>
    <cellStyle name="_Churn 2004_20080605 Consolidatie Businessplan v15 2" xfId="1535"/>
    <cellStyle name="_Churn 2004_20080605 Consolidatie Businessplan v15 2 2" xfId="4534"/>
    <cellStyle name="_Churn 2004_20080605 Consolidatie Businessplan v15 3" xfId="4535"/>
    <cellStyle name="_Churn 2004_20080605 Consolidatie Businessplan v15 3 2" xfId="4536"/>
    <cellStyle name="_Churn 2004_20080605 Consolidatie Businessplan v15 4" xfId="4537"/>
    <cellStyle name="_Churn 2004_20080605 Consolidatie Businessplan v15 5" xfId="4538"/>
    <cellStyle name="_Churn 2004_20080605 Consolidatie Businessplan v15_Blad2" xfId="1536"/>
    <cellStyle name="_Churn 2004_20080605 Consolidatie Businessplan v15_Blad2 2" xfId="1537"/>
    <cellStyle name="_Churn 2004_20080605 Consolidatie Businessplan v15_Blad2_JP2011" xfId="1538"/>
    <cellStyle name="_Churn 2004_20080605 Consolidatie Businessplan v15_JP2011" xfId="1539"/>
    <cellStyle name="_Churn 2004_20080605 Consolidatie Businessplan v15_Model Plan 2012" xfId="1540"/>
    <cellStyle name="_Churn 2004_20080605 Consolidatie Businessplan v19" xfId="1541"/>
    <cellStyle name="_Churn 2004_20080605 Consolidatie Businessplan v19 2" xfId="1542"/>
    <cellStyle name="_Churn 2004_20080605 Consolidatie Businessplan v19 2 2" xfId="4539"/>
    <cellStyle name="_Churn 2004_20080605 Consolidatie Businessplan v19 3" xfId="4540"/>
    <cellStyle name="_Churn 2004_20080605 Consolidatie Businessplan v19 3 2" xfId="4541"/>
    <cellStyle name="_Churn 2004_20080605 Consolidatie Businessplan v19 4" xfId="4542"/>
    <cellStyle name="_Churn 2004_20080605 Consolidatie Businessplan v19 5" xfId="4543"/>
    <cellStyle name="_Churn 2004_20080605 Consolidatie Businessplan v19_Blad2" xfId="1543"/>
    <cellStyle name="_Churn 2004_20080605 Consolidatie Businessplan v19_Blad2 2" xfId="1544"/>
    <cellStyle name="_Churn 2004_20080605 Consolidatie Businessplan v19_Blad2_JP2011" xfId="1545"/>
    <cellStyle name="_Churn 2004_20080605 Consolidatie Businessplan v19_JP2011" xfId="1546"/>
    <cellStyle name="_Churn 2004_20080605 Consolidatie Businessplan v19_Model Plan 2012" xfId="1547"/>
    <cellStyle name="_Churn 2004_BenI" xfId="4544"/>
    <cellStyle name="_Churn 2004_Blad2" xfId="1548"/>
    <cellStyle name="_Churn 2004_Blad2 2" xfId="1549"/>
    <cellStyle name="_Churn 2004_Blad2_JP2011" xfId="1550"/>
    <cellStyle name="_Churn 2004_Fixed Data" xfId="4545"/>
    <cellStyle name="_Churn 2004_JP2011" xfId="1551"/>
    <cellStyle name="_Churn 2004_Model Plan 2012" xfId="1552"/>
    <cellStyle name="_Churn 2004_ND5 squeeze model  whs-whs v2.21 DWDM ILL" xfId="1553"/>
    <cellStyle name="_Churn 2004_OIT data LE,SCM,INS,targets" xfId="4546"/>
    <cellStyle name="_Churn 2004_SWOL" xfId="4547"/>
    <cellStyle name="_CLARKS - 08 TEMPLATE CK 7 Nov" xfId="1554"/>
    <cellStyle name="_CM PAC Programma's 2009" xfId="4548"/>
    <cellStyle name="_CM PAC Programma's 2010" xfId="4549"/>
    <cellStyle name="_CM SOx Materialiteitsmatrix 2009 hard BALANCE SHEET (2)" xfId="4550"/>
    <cellStyle name="_CM SOx Materialiteitsmatrix 2009 hard BALANCE SHEET (2) 2" xfId="4551"/>
    <cellStyle name="_CM SOx Materialiteitsmatrix 2009 hard BALANCE SHEET (2) 2 2" xfId="4552"/>
    <cellStyle name="_CM SOx Materialiteitsmatrix 2009 hard BALANCE SHEET (2) 3" xfId="4553"/>
    <cellStyle name="_CM SOx Materialiteitsmatrix 2009 hard BALANCE SHEET (2) 3 2" xfId="4554"/>
    <cellStyle name="_CM SOx Materialiteitsmatrix 2009 hard BALANCE SHEET (2) 4" xfId="4555"/>
    <cellStyle name="_CM SOx Materialiteitsmatrix 2009 hard BALANCE SHEET (2) 5" xfId="4556"/>
    <cellStyle name="_CM SOx Materialiteitsmatrix 2009 hard INCOME STATEMENT" xfId="4557"/>
    <cellStyle name="_CM SOx Materialiteitsmatrix 2009 hard INCOME STATEMENT 2" xfId="4558"/>
    <cellStyle name="_CM SOx Materialiteitsmatrix 2009 hard INCOME STATEMENT 2 2" xfId="4559"/>
    <cellStyle name="_CM SOx Materialiteitsmatrix 2009 hard INCOME STATEMENT 3" xfId="4560"/>
    <cellStyle name="_CM SOx Materialiteitsmatrix 2009 hard INCOME STATEMENT 3 2" xfId="4561"/>
    <cellStyle name="_CM SOx Materialiteitsmatrix 2009 hard INCOME STATEMENT 4" xfId="4562"/>
    <cellStyle name="_CM SOx Materialiteitsmatrix 2009 hard INCOME STATEMENT 5" xfId="4563"/>
    <cellStyle name="_COLT - 08 Chris Westwood" xfId="1555"/>
    <cellStyle name="_Comma" xfId="4564"/>
    <cellStyle name="_Comma 2" xfId="4565"/>
    <cellStyle name="_Comma 2 2" xfId="4566"/>
    <cellStyle name="_Comma 3" xfId="4567"/>
    <cellStyle name="_Comma 3 2" xfId="4568"/>
    <cellStyle name="_Comma 4" xfId="4569"/>
    <cellStyle name="_Comma 5" xfId="4570"/>
    <cellStyle name="_Comma_110329 PQ Challenge Linked to Sharepoint" xfId="4571"/>
    <cellStyle name="_Comma_110329 PQ Challenge Linked to Sharepoint 2" xfId="4572"/>
    <cellStyle name="_Comma_110329 PQ Challenge Linked to Sharepoint 2 2" xfId="4573"/>
    <cellStyle name="_Comma_110329 PQ Challenge Linked to Sharepoint 3" xfId="4574"/>
    <cellStyle name="_Comma_110329 PQ Challenge Linked to Sharepoint 3 2" xfId="4575"/>
    <cellStyle name="_Comma_110329 PQ Challenge Linked to Sharepoint 4" xfId="4576"/>
    <cellStyle name="_Comma_110329 PQ Challenge Linked to Sharepoint 5" xfId="4577"/>
    <cellStyle name="_Comma_110413 Outlook ZM Linked to Sharepoint" xfId="4578"/>
    <cellStyle name="_Comma_110413 Outlook ZM Linked to Sharepoint 2" xfId="4579"/>
    <cellStyle name="_Comma_110413 Outlook ZM Linked to Sharepoint 2 2" xfId="4580"/>
    <cellStyle name="_Comma_110413 Outlook ZM Linked to Sharepoint 3" xfId="4581"/>
    <cellStyle name="_Comma_110413 Outlook ZM Linked to Sharepoint 3 2" xfId="4582"/>
    <cellStyle name="_Comma_110413 Outlook ZM Linked to Sharepoint 4" xfId="4583"/>
    <cellStyle name="_Comma_110413 Outlook ZM Linked to Sharepoint 5" xfId="4584"/>
    <cellStyle name="_Comma_ICT" xfId="4585"/>
    <cellStyle name="_Comma_NL Spec Staf _ ICT" xfId="4586"/>
    <cellStyle name="_Comma_Trendanalyse 2009-2013 (MASTER met links naar SharePoint input) - 2011 structuur" xfId="4587"/>
    <cellStyle name="_Complete" xfId="186"/>
    <cellStyle name="_Complete 2" xfId="187"/>
    <cellStyle name="_Complete 3" xfId="1556"/>
    <cellStyle name="_Complete_ND5 squeeze model  whs-whs v2.21 DWDM ILL" xfId="1557"/>
    <cellStyle name="_Consolidatie set Overig opbr+verkr BU VT JP2004 versie 8" xfId="188"/>
    <cellStyle name="_Consolidatie set Overig opbr+verkr BU VT JP2004 versie 8 2" xfId="189"/>
    <cellStyle name="_Consolidatie set Overig opbr+verkr BU VT JP2004 versie 8 2 2" xfId="4588"/>
    <cellStyle name="_Consolidatie set Overig opbr+verkr BU VT JP2004 versie 8 3" xfId="1558"/>
    <cellStyle name="_Consolidatie set Overig opbr+verkr BU VT JP2004 versie 8 3 2" xfId="4589"/>
    <cellStyle name="_Consolidatie set Overig opbr+verkr BU VT JP2004 versie 8 4" xfId="4590"/>
    <cellStyle name="_Consolidatie set Overig opbr+verkr BU VT JP2004 versie 8 5" xfId="4591"/>
    <cellStyle name="_Consolidatie set Overig opbr+verkr BU VT JP2004 versie 8_110810_Overzicht_Orderintake" xfId="4592"/>
    <cellStyle name="_Consolidatie set Overig opbr+verkr BU VT JP2004 versie 8_20080530 Consolidatie Businessplan v12" xfId="1559"/>
    <cellStyle name="_Consolidatie set Overig opbr+verkr BU VT JP2004 versie 8_20080530 Consolidatie Businessplan v12 2" xfId="1560"/>
    <cellStyle name="_Consolidatie set Overig opbr+verkr BU VT JP2004 versie 8_20080530 Consolidatie Businessplan v12 2 2" xfId="4593"/>
    <cellStyle name="_Consolidatie set Overig opbr+verkr BU VT JP2004 versie 8_20080530 Consolidatie Businessplan v12 3" xfId="4594"/>
    <cellStyle name="_Consolidatie set Overig opbr+verkr BU VT JP2004 versie 8_20080530 Consolidatie Businessplan v12 3 2" xfId="4595"/>
    <cellStyle name="_Consolidatie set Overig opbr+verkr BU VT JP2004 versie 8_20080530 Consolidatie Businessplan v12 4" xfId="4596"/>
    <cellStyle name="_Consolidatie set Overig opbr+verkr BU VT JP2004 versie 8_20080530 Consolidatie Businessplan v12 5" xfId="4597"/>
    <cellStyle name="_Consolidatie set Overig opbr+verkr BU VT JP2004 versie 8_20080530 Consolidatie Businessplan v12_Blad2" xfId="1561"/>
    <cellStyle name="_Consolidatie set Overig opbr+verkr BU VT JP2004 versie 8_20080530 Consolidatie Businessplan v12_Blad2 2" xfId="1562"/>
    <cellStyle name="_Consolidatie set Overig opbr+verkr BU VT JP2004 versie 8_20080530 Consolidatie Businessplan v12_Blad2_JP2011" xfId="1563"/>
    <cellStyle name="_Consolidatie set Overig opbr+verkr BU VT JP2004 versie 8_20080530 Consolidatie Businessplan v12_JP2011" xfId="1564"/>
    <cellStyle name="_Consolidatie set Overig opbr+verkr BU VT JP2004 versie 8_20080530 Consolidatie Businessplan v12_Model Plan 2012" xfId="1565"/>
    <cellStyle name="_Consolidatie set Overig opbr+verkr BU VT JP2004 versie 8_20080605 Consolidatie Businessplan v15" xfId="1566"/>
    <cellStyle name="_Consolidatie set Overig opbr+verkr BU VT JP2004 versie 8_20080605 Consolidatie Businessplan v15 2" xfId="1567"/>
    <cellStyle name="_Consolidatie set Overig opbr+verkr BU VT JP2004 versie 8_20080605 Consolidatie Businessplan v15 2 2" xfId="4598"/>
    <cellStyle name="_Consolidatie set Overig opbr+verkr BU VT JP2004 versie 8_20080605 Consolidatie Businessplan v15 3" xfId="4599"/>
    <cellStyle name="_Consolidatie set Overig opbr+verkr BU VT JP2004 versie 8_20080605 Consolidatie Businessplan v15 3 2" xfId="4600"/>
    <cellStyle name="_Consolidatie set Overig opbr+verkr BU VT JP2004 versie 8_20080605 Consolidatie Businessplan v15 4" xfId="4601"/>
    <cellStyle name="_Consolidatie set Overig opbr+verkr BU VT JP2004 versie 8_20080605 Consolidatie Businessplan v15 5" xfId="4602"/>
    <cellStyle name="_Consolidatie set Overig opbr+verkr BU VT JP2004 versie 8_20080605 Consolidatie Businessplan v15_Blad2" xfId="1568"/>
    <cellStyle name="_Consolidatie set Overig opbr+verkr BU VT JP2004 versie 8_20080605 Consolidatie Businessplan v15_Blad2 2" xfId="1569"/>
    <cellStyle name="_Consolidatie set Overig opbr+verkr BU VT JP2004 versie 8_20080605 Consolidatie Businessplan v15_Blad2_JP2011" xfId="1570"/>
    <cellStyle name="_Consolidatie set Overig opbr+verkr BU VT JP2004 versie 8_20080605 Consolidatie Businessplan v15_JP2011" xfId="1571"/>
    <cellStyle name="_Consolidatie set Overig opbr+verkr BU VT JP2004 versie 8_20080605 Consolidatie Businessplan v15_Model Plan 2012" xfId="1572"/>
    <cellStyle name="_Consolidatie set Overig opbr+verkr BU VT JP2004 versie 8_20080605 Consolidatie Businessplan v19" xfId="1573"/>
    <cellStyle name="_Consolidatie set Overig opbr+verkr BU VT JP2004 versie 8_20080605 Consolidatie Businessplan v19 2" xfId="1574"/>
    <cellStyle name="_Consolidatie set Overig opbr+verkr BU VT JP2004 versie 8_20080605 Consolidatie Businessplan v19 2 2" xfId="4603"/>
    <cellStyle name="_Consolidatie set Overig opbr+verkr BU VT JP2004 versie 8_20080605 Consolidatie Businessplan v19 3" xfId="4604"/>
    <cellStyle name="_Consolidatie set Overig opbr+verkr BU VT JP2004 versie 8_20080605 Consolidatie Businessplan v19 3 2" xfId="4605"/>
    <cellStyle name="_Consolidatie set Overig opbr+verkr BU VT JP2004 versie 8_20080605 Consolidatie Businessplan v19 4" xfId="4606"/>
    <cellStyle name="_Consolidatie set Overig opbr+verkr BU VT JP2004 versie 8_20080605 Consolidatie Businessplan v19 5" xfId="4607"/>
    <cellStyle name="_Consolidatie set Overig opbr+verkr BU VT JP2004 versie 8_20080605 Consolidatie Businessplan v19_Blad2" xfId="1575"/>
    <cellStyle name="_Consolidatie set Overig opbr+verkr BU VT JP2004 versie 8_20080605 Consolidatie Businessplan v19_Blad2 2" xfId="1576"/>
    <cellStyle name="_Consolidatie set Overig opbr+verkr BU VT JP2004 versie 8_20080605 Consolidatie Businessplan v19_Blad2_JP2011" xfId="1577"/>
    <cellStyle name="_Consolidatie set Overig opbr+verkr BU VT JP2004 versie 8_20080605 Consolidatie Businessplan v19_JP2011" xfId="1578"/>
    <cellStyle name="_Consolidatie set Overig opbr+verkr BU VT JP2004 versie 8_20080605 Consolidatie Businessplan v19_Model Plan 2012" xfId="1579"/>
    <cellStyle name="_Consolidatie set Overig opbr+verkr BU VT JP2004 versie 8_BenI" xfId="4608"/>
    <cellStyle name="_Consolidatie set Overig opbr+verkr BU VT JP2004 versie 8_Blad2" xfId="1580"/>
    <cellStyle name="_Consolidatie set Overig opbr+verkr BU VT JP2004 versie 8_Blad2 2" xfId="1581"/>
    <cellStyle name="_Consolidatie set Overig opbr+verkr BU VT JP2004 versie 8_Blad2_JP2011" xfId="1582"/>
    <cellStyle name="_Consolidatie set Overig opbr+verkr BU VT JP2004 versie 8_Fixed Data" xfId="4609"/>
    <cellStyle name="_Consolidatie set Overig opbr+verkr BU VT JP2004 versie 8_JP2011" xfId="1583"/>
    <cellStyle name="_Consolidatie set Overig opbr+verkr BU VT JP2004 versie 8_Model Plan 2012" xfId="1584"/>
    <cellStyle name="_Consolidatie set Overig opbr+verkr BU VT JP2004 versie 8_ND5 squeeze model  whs-whs v2.21 DWDM ILL" xfId="1585"/>
    <cellStyle name="_Consolidatie set Overig opbr+verkr BU VT JP2004 versie 8_OIT data LE,SCM,INS,targets" xfId="4610"/>
    <cellStyle name="_Consolidatie set Overig opbr+verkr BU VT JP2004 versie 8_SWOL" xfId="4611"/>
    <cellStyle name="_Consolidatie set Overig opbr+verkr BU VT JP2004 versie6" xfId="190"/>
    <cellStyle name="_Consolidatie set Overig opbr+verkr BU VT JP2004 versie6 2" xfId="191"/>
    <cellStyle name="_Consolidatie set Overig opbr+verkr BU VT JP2004 versie6 2 2" xfId="1586"/>
    <cellStyle name="_Consolidatie set Overig opbr+verkr BU VT JP2004 versie6 3" xfId="1587"/>
    <cellStyle name="_Consolidatie set Overig opbr+verkr BU VT JP2004 versie6 3 2" xfId="4612"/>
    <cellStyle name="_Consolidatie set Overig opbr+verkr BU VT JP2004 versie6 4" xfId="4613"/>
    <cellStyle name="_Consolidatie set Overig opbr+verkr BU VT JP2004 versie6 5" xfId="4614"/>
    <cellStyle name="_Consolidatie set Overig opbr+verkr BU VT JP2004 versie6_110810_Overzicht_Orderintake" xfId="4615"/>
    <cellStyle name="_Consolidatie set Overig opbr+verkr BU VT JP2004 versie6_20080530 Consolidatie Businessplan v12" xfId="1588"/>
    <cellStyle name="_Consolidatie set Overig opbr+verkr BU VT JP2004 versie6_20080530 Consolidatie Businessplan v12 2" xfId="1589"/>
    <cellStyle name="_Consolidatie set Overig opbr+verkr BU VT JP2004 versie6_20080530 Consolidatie Businessplan v12 2 2" xfId="4616"/>
    <cellStyle name="_Consolidatie set Overig opbr+verkr BU VT JP2004 versie6_20080530 Consolidatie Businessplan v12 3" xfId="4617"/>
    <cellStyle name="_Consolidatie set Overig opbr+verkr BU VT JP2004 versie6_20080530 Consolidatie Businessplan v12 3 2" xfId="4618"/>
    <cellStyle name="_Consolidatie set Overig opbr+verkr BU VT JP2004 versie6_20080530 Consolidatie Businessplan v12 4" xfId="4619"/>
    <cellStyle name="_Consolidatie set Overig opbr+verkr BU VT JP2004 versie6_20080530 Consolidatie Businessplan v12 5" xfId="4620"/>
    <cellStyle name="_Consolidatie set Overig opbr+verkr BU VT JP2004 versie6_20080530 Consolidatie Businessplan v12_Blad2" xfId="1590"/>
    <cellStyle name="_Consolidatie set Overig opbr+verkr BU VT JP2004 versie6_20080530 Consolidatie Businessplan v12_Blad2 2" xfId="1591"/>
    <cellStyle name="_Consolidatie set Overig opbr+verkr BU VT JP2004 versie6_20080530 Consolidatie Businessplan v12_Blad2_JP2011" xfId="1592"/>
    <cellStyle name="_Consolidatie set Overig opbr+verkr BU VT JP2004 versie6_20080530 Consolidatie Businessplan v12_JP2011" xfId="1593"/>
    <cellStyle name="_Consolidatie set Overig opbr+verkr BU VT JP2004 versie6_20080530 Consolidatie Businessplan v12_Model Plan 2012" xfId="1594"/>
    <cellStyle name="_Consolidatie set Overig opbr+verkr BU VT JP2004 versie6_20080605 Consolidatie Businessplan v15" xfId="1595"/>
    <cellStyle name="_Consolidatie set Overig opbr+verkr BU VT JP2004 versie6_20080605 Consolidatie Businessplan v15 2" xfId="1596"/>
    <cellStyle name="_Consolidatie set Overig opbr+verkr BU VT JP2004 versie6_20080605 Consolidatie Businessplan v15 2 2" xfId="4621"/>
    <cellStyle name="_Consolidatie set Overig opbr+verkr BU VT JP2004 versie6_20080605 Consolidatie Businessplan v15 3" xfId="4622"/>
    <cellStyle name="_Consolidatie set Overig opbr+verkr BU VT JP2004 versie6_20080605 Consolidatie Businessplan v15 3 2" xfId="4623"/>
    <cellStyle name="_Consolidatie set Overig opbr+verkr BU VT JP2004 versie6_20080605 Consolidatie Businessplan v15 4" xfId="4624"/>
    <cellStyle name="_Consolidatie set Overig opbr+verkr BU VT JP2004 versie6_20080605 Consolidatie Businessplan v15 5" xfId="4625"/>
    <cellStyle name="_Consolidatie set Overig opbr+verkr BU VT JP2004 versie6_20080605 Consolidatie Businessplan v15_Blad2" xfId="1597"/>
    <cellStyle name="_Consolidatie set Overig opbr+verkr BU VT JP2004 versie6_20080605 Consolidatie Businessplan v15_Blad2 2" xfId="1598"/>
    <cellStyle name="_Consolidatie set Overig opbr+verkr BU VT JP2004 versie6_20080605 Consolidatie Businessplan v15_Blad2_JP2011" xfId="1599"/>
    <cellStyle name="_Consolidatie set Overig opbr+verkr BU VT JP2004 versie6_20080605 Consolidatie Businessplan v15_JP2011" xfId="1600"/>
    <cellStyle name="_Consolidatie set Overig opbr+verkr BU VT JP2004 versie6_20080605 Consolidatie Businessplan v15_Model Plan 2012" xfId="1601"/>
    <cellStyle name="_Consolidatie set Overig opbr+verkr BU VT JP2004 versie6_20080605 Consolidatie Businessplan v19" xfId="1602"/>
    <cellStyle name="_Consolidatie set Overig opbr+verkr BU VT JP2004 versie6_20080605 Consolidatie Businessplan v19 2" xfId="1603"/>
    <cellStyle name="_Consolidatie set Overig opbr+verkr BU VT JP2004 versie6_20080605 Consolidatie Businessplan v19 2 2" xfId="4626"/>
    <cellStyle name="_Consolidatie set Overig opbr+verkr BU VT JP2004 versie6_20080605 Consolidatie Businessplan v19 3" xfId="4627"/>
    <cellStyle name="_Consolidatie set Overig opbr+verkr BU VT JP2004 versie6_20080605 Consolidatie Businessplan v19 3 2" xfId="4628"/>
    <cellStyle name="_Consolidatie set Overig opbr+verkr BU VT JP2004 versie6_20080605 Consolidatie Businessplan v19 4" xfId="4629"/>
    <cellStyle name="_Consolidatie set Overig opbr+verkr BU VT JP2004 versie6_20080605 Consolidatie Businessplan v19 5" xfId="4630"/>
    <cellStyle name="_Consolidatie set Overig opbr+verkr BU VT JP2004 versie6_20080605 Consolidatie Businessplan v19_Blad2" xfId="1604"/>
    <cellStyle name="_Consolidatie set Overig opbr+verkr BU VT JP2004 versie6_20080605 Consolidatie Businessplan v19_Blad2 2" xfId="1605"/>
    <cellStyle name="_Consolidatie set Overig opbr+verkr BU VT JP2004 versie6_20080605 Consolidatie Businessplan v19_Blad2_JP2011" xfId="1606"/>
    <cellStyle name="_Consolidatie set Overig opbr+verkr BU VT JP2004 versie6_20080605 Consolidatie Businessplan v19_JP2011" xfId="1607"/>
    <cellStyle name="_Consolidatie set Overig opbr+verkr BU VT JP2004 versie6_20080605 Consolidatie Businessplan v19_Model Plan 2012" xfId="1608"/>
    <cellStyle name="_Consolidatie set Overig opbr+verkr BU VT JP2004 versie6_BenI" xfId="4631"/>
    <cellStyle name="_Consolidatie set Overig opbr+verkr BU VT JP2004 versie6_Blad2" xfId="1609"/>
    <cellStyle name="_Consolidatie set Overig opbr+verkr BU VT JP2004 versie6_Blad2 2" xfId="1610"/>
    <cellStyle name="_Consolidatie set Overig opbr+verkr BU VT JP2004 versie6_Blad2_JP2011" xfId="1611"/>
    <cellStyle name="_Consolidatie set Overig opbr+verkr BU VT JP2004 versie6_Copy of Org tabel menu kaart" xfId="1612"/>
    <cellStyle name="_Consolidatie set Overig opbr+verkr BU VT JP2004 versie6_Entity structuur 2011" xfId="1613"/>
    <cellStyle name="_Consolidatie set Overig opbr+verkr BU VT JP2004 versie6_EVPN Model_20102601_v0.1" xfId="192"/>
    <cellStyle name="_Consolidatie set Overig opbr+verkr BU VT JP2004 versie6_FC categoraal" xfId="1614"/>
    <cellStyle name="_Consolidatie set Overig opbr+verkr BU VT JP2004 versie6_Fixed Data" xfId="4632"/>
    <cellStyle name="_Consolidatie set Overig opbr+verkr BU VT JP2004 versie6_GDC nieuwe pfc cc jan  2011 v4" xfId="1615"/>
    <cellStyle name="_Consolidatie set Overig opbr+verkr BU VT JP2004 versie6_JP2011" xfId="1616"/>
    <cellStyle name="_Consolidatie set Overig opbr+verkr BU VT JP2004 versie6_JP2011 2" xfId="1617"/>
    <cellStyle name="_Consolidatie set Overig opbr+verkr BU VT JP2004 versie6_JP2011_1" xfId="1618"/>
    <cellStyle name="_Consolidatie set Overig opbr+verkr BU VT JP2004 versie6_KWT IS Data 2010-10-07" xfId="1619"/>
    <cellStyle name="_Consolidatie set Overig opbr+verkr BU VT JP2004 versie6_Model Plan 2012" xfId="1620"/>
    <cellStyle name="_Consolidatie set Overig opbr+verkr BU VT JP2004 versie6_ND5 squeeze model  whs-whs v2.21 DWDM ILL" xfId="1621"/>
    <cellStyle name="_Consolidatie set Overig opbr+verkr BU VT JP2004 versie6_OIT data LE,SCM,INS,targets" xfId="4633"/>
    <cellStyle name="_Consolidatie set Overig opbr+verkr BU VT JP2004 versie6_Pivot" xfId="4634"/>
    <cellStyle name="_Consolidatie set Overig opbr+verkr BU VT JP2004 versie6_PPT Link" xfId="4635"/>
    <cellStyle name="_Consolidatie set Overig opbr+verkr BU VT JP2004 versie6_Preclosing" xfId="1622"/>
    <cellStyle name="_Consolidatie set Overig opbr+verkr BU VT JP2004 versie6_Preclosing 2" xfId="1623"/>
    <cellStyle name="_Consolidatie set Overig opbr+verkr BU VT JP2004 versie6_Preclosing jan11" xfId="1624"/>
    <cellStyle name="_Consolidatie set Overig opbr+verkr BU VT JP2004 versie6_Preclosing_1" xfId="1625"/>
    <cellStyle name="_Consolidatie set Overig opbr+verkr BU VT JP2004 versie6_Preclosing_2" xfId="1626"/>
    <cellStyle name="_Consolidatie set Overig opbr+verkr BU VT JP2004 versie6_Preclosing_3" xfId="1627"/>
    <cellStyle name="_Consolidatie set Overig opbr+verkr BU VT JP2004 versie6_Preclosing_FC categoraal" xfId="1628"/>
    <cellStyle name="_Consolidatie set Overig opbr+verkr BU VT JP2004 versie6_Sheet1" xfId="1629"/>
    <cellStyle name="_Consolidatie set Overig opbr+verkr BU VT JP2004 versie6_Sheet1_1" xfId="1630"/>
    <cellStyle name="_Consolidatie set Overig opbr+verkr BU VT JP2004 versie6_Sheet1_1 2" xfId="1631"/>
    <cellStyle name="_Consolidatie set Overig opbr+verkr BU VT JP2004 versie6_Sheet1_1_FC categoraal" xfId="1632"/>
    <cellStyle name="_Consolidatie set Overig opbr+verkr BU VT JP2004 versie6_Sheet1_2" xfId="1633"/>
    <cellStyle name="_Consolidatie set Overig opbr+verkr BU VT JP2004 versie6_Sheet1_2 2" xfId="1634"/>
    <cellStyle name="_Consolidatie set Overig opbr+verkr BU VT JP2004 versie6_Sheet2" xfId="1635"/>
    <cellStyle name="_Consolidatie set Overig opbr+verkr BU VT JP2004 versie6_SWOL" xfId="4636"/>
    <cellStyle name="_Consolidatie set Overig opbr+verkr BU VT JP2004 versie6_ZM IS Data Tarievenboek 2010-03-11" xfId="193"/>
    <cellStyle name="_Consolidatie set P&amp;L omzet BU VT JP2004 versie6" xfId="194"/>
    <cellStyle name="_Consolidatie set P&amp;L omzet BU VT JP2004 versie6 2" xfId="195"/>
    <cellStyle name="_Consolidatie set P&amp;L omzet BU VT JP2004 versie6 2 2" xfId="1636"/>
    <cellStyle name="_Consolidatie set P&amp;L omzet BU VT JP2004 versie6 3" xfId="1637"/>
    <cellStyle name="_Consolidatie set P&amp;L omzet BU VT JP2004 versie6 3 2" xfId="4637"/>
    <cellStyle name="_Consolidatie set P&amp;L omzet BU VT JP2004 versie6 4" xfId="4638"/>
    <cellStyle name="_Consolidatie set P&amp;L omzet BU VT JP2004 versie6 5" xfId="4639"/>
    <cellStyle name="_Consolidatie set P&amp;L omzet BU VT JP2004 versie6_110810_Overzicht_Orderintake" xfId="4640"/>
    <cellStyle name="_Consolidatie set P&amp;L omzet BU VT JP2004 versie6_20080530 Consolidatie Businessplan v12" xfId="1638"/>
    <cellStyle name="_Consolidatie set P&amp;L omzet BU VT JP2004 versie6_20080530 Consolidatie Businessplan v12 2" xfId="1639"/>
    <cellStyle name="_Consolidatie set P&amp;L omzet BU VT JP2004 versie6_20080530 Consolidatie Businessplan v12 2 2" xfId="4641"/>
    <cellStyle name="_Consolidatie set P&amp;L omzet BU VT JP2004 versie6_20080530 Consolidatie Businessplan v12 3" xfId="4642"/>
    <cellStyle name="_Consolidatie set P&amp;L omzet BU VT JP2004 versie6_20080530 Consolidatie Businessplan v12 3 2" xfId="4643"/>
    <cellStyle name="_Consolidatie set P&amp;L omzet BU VT JP2004 versie6_20080530 Consolidatie Businessplan v12 4" xfId="4644"/>
    <cellStyle name="_Consolidatie set P&amp;L omzet BU VT JP2004 versie6_20080530 Consolidatie Businessplan v12 5" xfId="4645"/>
    <cellStyle name="_Consolidatie set P&amp;L omzet BU VT JP2004 versie6_20080530 Consolidatie Businessplan v12_Blad2" xfId="1640"/>
    <cellStyle name="_Consolidatie set P&amp;L omzet BU VT JP2004 versie6_20080530 Consolidatie Businessplan v12_Blad2 2" xfId="1641"/>
    <cellStyle name="_Consolidatie set P&amp;L omzet BU VT JP2004 versie6_20080530 Consolidatie Businessplan v12_Blad2_JP2011" xfId="1642"/>
    <cellStyle name="_Consolidatie set P&amp;L omzet BU VT JP2004 versie6_20080530 Consolidatie Businessplan v12_JP2011" xfId="1643"/>
    <cellStyle name="_Consolidatie set P&amp;L omzet BU VT JP2004 versie6_20080530 Consolidatie Businessplan v12_Model Plan 2012" xfId="1644"/>
    <cellStyle name="_Consolidatie set P&amp;L omzet BU VT JP2004 versie6_20080605 Consolidatie Businessplan v15" xfId="1645"/>
    <cellStyle name="_Consolidatie set P&amp;L omzet BU VT JP2004 versie6_20080605 Consolidatie Businessplan v15 2" xfId="1646"/>
    <cellStyle name="_Consolidatie set P&amp;L omzet BU VT JP2004 versie6_20080605 Consolidatie Businessplan v15 2 2" xfId="4646"/>
    <cellStyle name="_Consolidatie set P&amp;L omzet BU VT JP2004 versie6_20080605 Consolidatie Businessplan v15 3" xfId="4647"/>
    <cellStyle name="_Consolidatie set P&amp;L omzet BU VT JP2004 versie6_20080605 Consolidatie Businessplan v15 3 2" xfId="4648"/>
    <cellStyle name="_Consolidatie set P&amp;L omzet BU VT JP2004 versie6_20080605 Consolidatie Businessplan v15 4" xfId="4649"/>
    <cellStyle name="_Consolidatie set P&amp;L omzet BU VT JP2004 versie6_20080605 Consolidatie Businessplan v15 5" xfId="4650"/>
    <cellStyle name="_Consolidatie set P&amp;L omzet BU VT JP2004 versie6_20080605 Consolidatie Businessplan v15_Blad2" xfId="1647"/>
    <cellStyle name="_Consolidatie set P&amp;L omzet BU VT JP2004 versie6_20080605 Consolidatie Businessplan v15_Blad2 2" xfId="1648"/>
    <cellStyle name="_Consolidatie set P&amp;L omzet BU VT JP2004 versie6_20080605 Consolidatie Businessplan v15_Blad2_JP2011" xfId="1649"/>
    <cellStyle name="_Consolidatie set P&amp;L omzet BU VT JP2004 versie6_20080605 Consolidatie Businessplan v15_JP2011" xfId="1650"/>
    <cellStyle name="_Consolidatie set P&amp;L omzet BU VT JP2004 versie6_20080605 Consolidatie Businessplan v15_Model Plan 2012" xfId="1651"/>
    <cellStyle name="_Consolidatie set P&amp;L omzet BU VT JP2004 versie6_20080605 Consolidatie Businessplan v19" xfId="1652"/>
    <cellStyle name="_Consolidatie set P&amp;L omzet BU VT JP2004 versie6_20080605 Consolidatie Businessplan v19 2" xfId="1653"/>
    <cellStyle name="_Consolidatie set P&amp;L omzet BU VT JP2004 versie6_20080605 Consolidatie Businessplan v19 2 2" xfId="4651"/>
    <cellStyle name="_Consolidatie set P&amp;L omzet BU VT JP2004 versie6_20080605 Consolidatie Businessplan v19 3" xfId="4652"/>
    <cellStyle name="_Consolidatie set P&amp;L omzet BU VT JP2004 versie6_20080605 Consolidatie Businessplan v19 3 2" xfId="4653"/>
    <cellStyle name="_Consolidatie set P&amp;L omzet BU VT JP2004 versie6_20080605 Consolidatie Businessplan v19 4" xfId="4654"/>
    <cellStyle name="_Consolidatie set P&amp;L omzet BU VT JP2004 versie6_20080605 Consolidatie Businessplan v19 5" xfId="4655"/>
    <cellStyle name="_Consolidatie set P&amp;L omzet BU VT JP2004 versie6_20080605 Consolidatie Businessplan v19_Blad2" xfId="1654"/>
    <cellStyle name="_Consolidatie set P&amp;L omzet BU VT JP2004 versie6_20080605 Consolidatie Businessplan v19_Blad2 2" xfId="1655"/>
    <cellStyle name="_Consolidatie set P&amp;L omzet BU VT JP2004 versie6_20080605 Consolidatie Businessplan v19_Blad2_JP2011" xfId="1656"/>
    <cellStyle name="_Consolidatie set P&amp;L omzet BU VT JP2004 versie6_20080605 Consolidatie Businessplan v19_JP2011" xfId="1657"/>
    <cellStyle name="_Consolidatie set P&amp;L omzet BU VT JP2004 versie6_20080605 Consolidatie Businessplan v19_Model Plan 2012" xfId="1658"/>
    <cellStyle name="_Consolidatie set P&amp;L omzet BU VT JP2004 versie6_BenI" xfId="4656"/>
    <cellStyle name="_Consolidatie set P&amp;L omzet BU VT JP2004 versie6_Blad2" xfId="1659"/>
    <cellStyle name="_Consolidatie set P&amp;L omzet BU VT JP2004 versie6_Blad2 2" xfId="1660"/>
    <cellStyle name="_Consolidatie set P&amp;L omzet BU VT JP2004 versie6_Blad2_JP2011" xfId="1661"/>
    <cellStyle name="_Consolidatie set P&amp;L omzet BU VT JP2004 versie6_Copy of Org tabel menu kaart" xfId="1662"/>
    <cellStyle name="_Consolidatie set P&amp;L omzet BU VT JP2004 versie6_Entity structuur 2011" xfId="1663"/>
    <cellStyle name="_Consolidatie set P&amp;L omzet BU VT JP2004 versie6_EVPN Model_20102601_v0.1" xfId="196"/>
    <cellStyle name="_Consolidatie set P&amp;L omzet BU VT JP2004 versie6_FC categoraal" xfId="1664"/>
    <cellStyle name="_Consolidatie set P&amp;L omzet BU VT JP2004 versie6_Fixed Data" xfId="4657"/>
    <cellStyle name="_Consolidatie set P&amp;L omzet BU VT JP2004 versie6_GDC nieuwe pfc cc jan  2011 v4" xfId="1665"/>
    <cellStyle name="_Consolidatie set P&amp;L omzet BU VT JP2004 versie6_JP2011" xfId="1666"/>
    <cellStyle name="_Consolidatie set P&amp;L omzet BU VT JP2004 versie6_JP2011 2" xfId="1667"/>
    <cellStyle name="_Consolidatie set P&amp;L omzet BU VT JP2004 versie6_JP2011_1" xfId="1668"/>
    <cellStyle name="_Consolidatie set P&amp;L omzet BU VT JP2004 versie6_KWT IS Data 2010-10-07" xfId="1669"/>
    <cellStyle name="_Consolidatie set P&amp;L omzet BU VT JP2004 versie6_Model Plan 2012" xfId="1670"/>
    <cellStyle name="_Consolidatie set P&amp;L omzet BU VT JP2004 versie6_ND5 squeeze model  whs-whs v2.21 DWDM ILL" xfId="1671"/>
    <cellStyle name="_Consolidatie set P&amp;L omzet BU VT JP2004 versie6_OIT data LE,SCM,INS,targets" xfId="4658"/>
    <cellStyle name="_Consolidatie set P&amp;L omzet BU VT JP2004 versie6_Pivot" xfId="4659"/>
    <cellStyle name="_Consolidatie set P&amp;L omzet BU VT JP2004 versie6_PPT Link" xfId="4660"/>
    <cellStyle name="_Consolidatie set P&amp;L omzet BU VT JP2004 versie6_Preclosing" xfId="1672"/>
    <cellStyle name="_Consolidatie set P&amp;L omzet BU VT JP2004 versie6_Preclosing 2" xfId="1673"/>
    <cellStyle name="_Consolidatie set P&amp;L omzet BU VT JP2004 versie6_Preclosing jan11" xfId="1674"/>
    <cellStyle name="_Consolidatie set P&amp;L omzet BU VT JP2004 versie6_Preclosing_1" xfId="1675"/>
    <cellStyle name="_Consolidatie set P&amp;L omzet BU VT JP2004 versie6_Preclosing_2" xfId="1676"/>
    <cellStyle name="_Consolidatie set P&amp;L omzet BU VT JP2004 versie6_Preclosing_3" xfId="1677"/>
    <cellStyle name="_Consolidatie set P&amp;L omzet BU VT JP2004 versie6_Preclosing_FC categoraal" xfId="1678"/>
    <cellStyle name="_Consolidatie set P&amp;L omzet BU VT JP2004 versie6_Sheet1" xfId="1679"/>
    <cellStyle name="_Consolidatie set P&amp;L omzet BU VT JP2004 versie6_Sheet1_1" xfId="1680"/>
    <cellStyle name="_Consolidatie set P&amp;L omzet BU VT JP2004 versie6_Sheet1_1 2" xfId="1681"/>
    <cellStyle name="_Consolidatie set P&amp;L omzet BU VT JP2004 versie6_Sheet1_1_FC categoraal" xfId="1682"/>
    <cellStyle name="_Consolidatie set P&amp;L omzet BU VT JP2004 versie6_Sheet1_2" xfId="1683"/>
    <cellStyle name="_Consolidatie set P&amp;L omzet BU VT JP2004 versie6_Sheet1_2 2" xfId="1684"/>
    <cellStyle name="_Consolidatie set P&amp;L omzet BU VT JP2004 versie6_Sheet2" xfId="1685"/>
    <cellStyle name="_Consolidatie set P&amp;L omzet BU VT JP2004 versie6_SWOL" xfId="4661"/>
    <cellStyle name="_Consolidatie set P&amp;L omzet BU VT JP2004 versie6_ZM IS Data Tarievenboek 2010-03-11" xfId="197"/>
    <cellStyle name="_Conversie" xfId="1686"/>
    <cellStyle name="_Copy of ITGIWWDBDA02_ITGI02" xfId="4662"/>
    <cellStyle name="_Copy of PSN - 08 AN input 8 Nov" xfId="1687"/>
    <cellStyle name="_Corus - 08 V1" xfId="1688"/>
    <cellStyle name="_COVENTRY BS - 08 V1" xfId="1689"/>
    <cellStyle name="_CP COS Jan 08" xfId="1690"/>
    <cellStyle name="_CPS EDC schakelingen 2007-2011" xfId="198"/>
    <cellStyle name="_CS internet SOLL 1309 v5 obv aangepaste maandpercentages" xfId="4663"/>
    <cellStyle name="_CS telefonie SOLL 1309 v5 obv aangepaste maandpercentages" xfId="1691"/>
    <cellStyle name="_CSLLS_2004HJ_45" xfId="199"/>
    <cellStyle name="_CSLLS_2004HJ_45 2" xfId="1692"/>
    <cellStyle name="_CSLLS_2004HJ_45 2 2" xfId="1693"/>
    <cellStyle name="_CSLLS_2004HJ_45_EVPN Model_20102601_v0.1" xfId="200"/>
    <cellStyle name="_CSLLS_2004HJ_45_KWT IS Data 2010-10-07" xfId="1694"/>
    <cellStyle name="_CSLLS_2004HJ_45_ND5 squeeze model  whs-whs v2.21 DWDM ILL" xfId="1695"/>
    <cellStyle name="_CSLLS_2004HJ_45_ZM IS Data Tarievenboek 2010-03-11" xfId="201"/>
    <cellStyle name="_CSLLS_JR2004_wk16 IFRS" xfId="202"/>
    <cellStyle name="_CSLLS_JR2004_wk16 IFRS 2" xfId="1696"/>
    <cellStyle name="_CSLLS_JR2004_wk16 IFRS 2 2" xfId="1697"/>
    <cellStyle name="_CSLLS_JR2004_wk16 IFRS_EVPN Model_20102601_v0.1" xfId="203"/>
    <cellStyle name="_CSLLS_JR2004_wk16 IFRS_KWT IS Data 2010-10-07" xfId="1698"/>
    <cellStyle name="_CSLLS_JR2004_wk16 IFRS_ND5 squeeze model  whs-whs v2.21 DWDM ILL" xfId="1699"/>
    <cellStyle name="_CSLLS_JR2004_wk16 IFRS_ZM IS Data Tarievenboek 2010-03-11" xfId="204"/>
    <cellStyle name="_cswvs_18_2003JR" xfId="205"/>
    <cellStyle name="_CSWVS_JR2004_wk10_vs2" xfId="206"/>
    <cellStyle name="_CSWVS_JR2004_wk12C" xfId="207"/>
    <cellStyle name="_CSWVS_JR2004_wk17A IFRS" xfId="208"/>
    <cellStyle name="_CUNNINGHAM LINDSAY - 08" xfId="1700"/>
    <cellStyle name="_Currency" xfId="4664"/>
    <cellStyle name="_Currency 2" xfId="4665"/>
    <cellStyle name="_Currency 2 2" xfId="4666"/>
    <cellStyle name="_Currency 3" xfId="4667"/>
    <cellStyle name="_Currency 3 2" xfId="4668"/>
    <cellStyle name="_Currency 4" xfId="4669"/>
    <cellStyle name="_Currency 5" xfId="4670"/>
    <cellStyle name="_Currency_101018 BP Check OLS" xfId="4671"/>
    <cellStyle name="_Currency_101018 BP Check OLS 2" xfId="4672"/>
    <cellStyle name="_Currency_101018 BP Check OLS 2 2" xfId="4673"/>
    <cellStyle name="_Currency_101018 BP Check OLS 3" xfId="4674"/>
    <cellStyle name="_Currency_101018 BP Check OLS 3 2" xfId="4675"/>
    <cellStyle name="_Currency_101018 BP Check OLS 4" xfId="4676"/>
    <cellStyle name="_Currency_101018 BP Check OLS 5" xfId="4677"/>
    <cellStyle name="_Currency_101018 BP Check OLS_110329 PQ Challenge Linked to Sharepoint" xfId="4678"/>
    <cellStyle name="_Currency_101018 BP Check OLS_110329 PQ Challenge Linked to Sharepoint 2" xfId="4679"/>
    <cellStyle name="_Currency_101018 BP Check OLS_110329 PQ Challenge Linked to Sharepoint 2 2" xfId="4680"/>
    <cellStyle name="_Currency_101018 BP Check OLS_110329 PQ Challenge Linked to Sharepoint 3" xfId="4681"/>
    <cellStyle name="_Currency_101018 BP Check OLS_110329 PQ Challenge Linked to Sharepoint 3 2" xfId="4682"/>
    <cellStyle name="_Currency_101018 BP Check OLS_110329 PQ Challenge Linked to Sharepoint 4" xfId="4683"/>
    <cellStyle name="_Currency_101018 BP Check OLS_110329 PQ Challenge Linked to Sharepoint 5" xfId="4684"/>
    <cellStyle name="_Currency_101018 BP Check OLS_110413 Outlook ZM Linked to Sharepoint" xfId="4685"/>
    <cellStyle name="_Currency_101018 BP Check OLS_110413 Outlook ZM Linked to Sharepoint 2" xfId="4686"/>
    <cellStyle name="_Currency_101018 BP Check OLS_110413 Outlook ZM Linked to Sharepoint 2 2" xfId="4687"/>
    <cellStyle name="_Currency_101018 BP Check OLS_110413 Outlook ZM Linked to Sharepoint 3" xfId="4688"/>
    <cellStyle name="_Currency_101018 BP Check OLS_110413 Outlook ZM Linked to Sharepoint 3 2" xfId="4689"/>
    <cellStyle name="_Currency_101018 BP Check OLS_110413 Outlook ZM Linked to Sharepoint 4" xfId="4690"/>
    <cellStyle name="_Currency_101018 BP Check OLS_110413 Outlook ZM Linked to Sharepoint 5" xfId="4691"/>
    <cellStyle name="_Currency_110329 PQ Challenge Linked to Sharepoint" xfId="4692"/>
    <cellStyle name="_Currency_110329 PQ Challenge Linked to Sharepoint 2" xfId="4693"/>
    <cellStyle name="_Currency_110329 PQ Challenge Linked to Sharepoint 2 2" xfId="4694"/>
    <cellStyle name="_Currency_110329 PQ Challenge Linked to Sharepoint 3" xfId="4695"/>
    <cellStyle name="_Currency_110329 PQ Challenge Linked to Sharepoint 3 2" xfId="4696"/>
    <cellStyle name="_Currency_110329 PQ Challenge Linked to Sharepoint 4" xfId="4697"/>
    <cellStyle name="_Currency_110329 PQ Challenge Linked to Sharepoint 5" xfId="4698"/>
    <cellStyle name="_Currency_110413 Outlook ZM Linked to Sharepoint" xfId="4699"/>
    <cellStyle name="_Currency_110413 Outlook ZM Linked to Sharepoint 2" xfId="4700"/>
    <cellStyle name="_Currency_110413 Outlook ZM Linked to Sharepoint 2 2" xfId="4701"/>
    <cellStyle name="_Currency_110413 Outlook ZM Linked to Sharepoint 3" xfId="4702"/>
    <cellStyle name="_Currency_110413 Outlook ZM Linked to Sharepoint 3 2" xfId="4703"/>
    <cellStyle name="_Currency_110413 Outlook ZM Linked to Sharepoint 4" xfId="4704"/>
    <cellStyle name="_Currency_110413 Outlook ZM Linked to Sharepoint 5" xfId="4705"/>
    <cellStyle name="_Currency_ICT" xfId="4706"/>
    <cellStyle name="_Currency_NewRef10" xfId="4707"/>
    <cellStyle name="_Currency_NewRef10 2" xfId="4708"/>
    <cellStyle name="_Currency_NewRef10 2 2" xfId="4709"/>
    <cellStyle name="_Currency_NewRef10 3" xfId="4710"/>
    <cellStyle name="_Currency_NewRef10 3 2" xfId="4711"/>
    <cellStyle name="_Currency_NewRef10 4" xfId="4712"/>
    <cellStyle name="_Currency_NewRef10 5" xfId="4713"/>
    <cellStyle name="_Currency_NewRef10_110329 PQ Challenge Linked to Sharepoint" xfId="4714"/>
    <cellStyle name="_Currency_NewRef10_110329 PQ Challenge Linked to Sharepoint 2" xfId="4715"/>
    <cellStyle name="_Currency_NewRef10_110329 PQ Challenge Linked to Sharepoint 2 2" xfId="4716"/>
    <cellStyle name="_Currency_NewRef10_110329 PQ Challenge Linked to Sharepoint 3" xfId="4717"/>
    <cellStyle name="_Currency_NewRef10_110329 PQ Challenge Linked to Sharepoint 3 2" xfId="4718"/>
    <cellStyle name="_Currency_NewRef10_110329 PQ Challenge Linked to Sharepoint 4" xfId="4719"/>
    <cellStyle name="_Currency_NewRef10_110329 PQ Challenge Linked to Sharepoint 5" xfId="4720"/>
    <cellStyle name="_Currency_NewRef10_110413 Outlook ZM Linked to Sharepoint" xfId="4721"/>
    <cellStyle name="_Currency_NewRef10_110413 Outlook ZM Linked to Sharepoint 2" xfId="4722"/>
    <cellStyle name="_Currency_NewRef10_110413 Outlook ZM Linked to Sharepoint 2 2" xfId="4723"/>
    <cellStyle name="_Currency_NewRef10_110413 Outlook ZM Linked to Sharepoint 3" xfId="4724"/>
    <cellStyle name="_Currency_NewRef10_110413 Outlook ZM Linked to Sharepoint 3 2" xfId="4725"/>
    <cellStyle name="_Currency_NewRef10_110413 Outlook ZM Linked to Sharepoint 4" xfId="4726"/>
    <cellStyle name="_Currency_NewRef10_110413 Outlook ZM Linked to Sharepoint 5" xfId="4727"/>
    <cellStyle name="_Currency_NewRef10_ICT" xfId="4728"/>
    <cellStyle name="_Currency_NewRef10_NL Spec Staf _ ICT" xfId="4729"/>
    <cellStyle name="_Currency_NewRef10_Trendanalyse 2009-2013 (MASTER met links naar SharePoint input) - 2011 structuur" xfId="4730"/>
    <cellStyle name="_Currency_NL Spec Staf _ ICT" xfId="4731"/>
    <cellStyle name="_Currency_Trendanalyse 2009-2013 (MASTER met links naar SharePoint input) - 2011 structuur" xfId="4732"/>
    <cellStyle name="_CurrencySpace" xfId="4733"/>
    <cellStyle name="_CurrencySpace 2" xfId="4734"/>
    <cellStyle name="_CurrencySpace 2 2" xfId="4735"/>
    <cellStyle name="_CurrencySpace 3" xfId="4736"/>
    <cellStyle name="_CurrencySpace 3 2" xfId="4737"/>
    <cellStyle name="_CurrencySpace 4" xfId="4738"/>
    <cellStyle name="_CurrencySpace 5" xfId="4739"/>
    <cellStyle name="_DA'd Codes" xfId="209"/>
    <cellStyle name="_DA'd Codes 2" xfId="210"/>
    <cellStyle name="_DA'd Codes 3" xfId="1701"/>
    <cellStyle name="_DA'd Codes_ND5 squeeze model  whs-whs v2.21 DWDM ILL" xfId="1702"/>
    <cellStyle name="_dataPQ" xfId="4740"/>
    <cellStyle name="_DB jaarplan en realisatie 2006deel 2" xfId="4741"/>
    <cellStyle name="_DB jaarplan en realisatie 2006deel 2 2" xfId="4742"/>
    <cellStyle name="_DB jaarplan en realisatie 2006deel 2 2 2" xfId="4743"/>
    <cellStyle name="_DB jaarplan en realisatie 2006deel 2 3" xfId="4744"/>
    <cellStyle name="_DB jaarplan en realisatie 2006deel 2 3 2" xfId="4745"/>
    <cellStyle name="_DB jaarplan en realisatie 2006deel 2 4" xfId="4746"/>
    <cellStyle name="_DB jaarplan en realisatie 2006deel 2 5" xfId="4747"/>
    <cellStyle name="_DCF model 2009 FINAL (2)" xfId="1703"/>
    <cellStyle name="_DCF rekenschema BW Haaglanden nieuw" xfId="1704"/>
    <cellStyle name="_DCS Bridge actualv v Budget Feb 08" xfId="1705"/>
    <cellStyle name="_Defend BB  SA share via accelerated VDSLCO-BR roll out - v03" xfId="4748"/>
    <cellStyle name="_Dell MRP SEPT 2007 v1" xfId="1706"/>
    <cellStyle name="_Dell MRP SEPT 2007 v2" xfId="1707"/>
    <cellStyle name="_DERBYSHIRE - 08 LW v1" xfId="1708"/>
    <cellStyle name="_DEUTSCHE BANK - 08 (Nikolai Lakovic)" xfId="1709"/>
    <cellStyle name="_Diensten FC 2006 P11  MLO" xfId="1710"/>
    <cellStyle name="_Diensten FC 2006 P11  MLO_ICS plan 2010 origineel v9 10-09" xfId="1711"/>
    <cellStyle name="_Diensten FC 2006 P11  MLO_JP2011" xfId="1712"/>
    <cellStyle name="_Diensten FC 2006 P11  MLO_JP2011 2" xfId="1713"/>
    <cellStyle name="_Diensten FC 2006 P11  MLO_Maand Capex" xfId="1714"/>
    <cellStyle name="_Diensten FC 2006 P11  MLO_Maand Capex_JP2011" xfId="1715"/>
    <cellStyle name="_Diensten FC 2006 P11  MLO_Maand Capex_JP2011 2" xfId="1716"/>
    <cellStyle name="_Diensten FC 2006 P11  MLO_ML_Generic_1 1 input Capex incl maandplan_v2" xfId="1717"/>
    <cellStyle name="_Diensten FC 2006 P11  MLO_ML_Generic_1 1 input Capex incl maandplan_v2 2" xfId="1718"/>
    <cellStyle name="_Diensten FC 2006 P11  MLO_Model Plan 2012" xfId="1719"/>
    <cellStyle name="_DigiStream JP 2006 externe omzet_20051024" xfId="211"/>
    <cellStyle name="_DigiStream JP 2006 externe omzet_20051024 2" xfId="1720"/>
    <cellStyle name="_DigiStream JP 2006 externe omzet_20051024_Economy IPVPN - Centrale Aansluiting 20102601_v0.1 test EA" xfId="212"/>
    <cellStyle name="_DigiStream JP 2006 externe omzet_20051024_Epacity EVPN_20102601_v0.1 test EA" xfId="213"/>
    <cellStyle name="_DigiStream JP 2006 externe omzet_20051024_IP VPN Model 20100315_v1.0" xfId="214"/>
    <cellStyle name="_DigiStream JP 2006 externe omzet_20051024_KWT IS Data 2010-10-07" xfId="1721"/>
    <cellStyle name="_DigiStream JP 2006 externe omzet_20051024_LPM EVPN 20100126_v0.1 test PB" xfId="215"/>
    <cellStyle name="_DigiStream JP 2006 externe omzet_20051024_LPM EVPN 20101013 Concept" xfId="216"/>
    <cellStyle name="_DigiStream JP 2006 externe omzet_20051024_LPM EVPN 20101118 concept" xfId="217"/>
    <cellStyle name="_DigiStream JP 2006 externe omzet_20051024_LPM IP VPN + ONE  obv prijslijst 10.1 + 6.2 dd 20101015 Concept" xfId="218"/>
    <cellStyle name="_DigiStream JP 2006 externe omzet_20051024_LPM IP VPN + ONE 20110104" xfId="219"/>
    <cellStyle name="_DigiStream JP 2006 externe omzet_20051024_LPM IP VPN 20100614 obv prijslijst 10.1 Concept incl additionele asn" xfId="220"/>
    <cellStyle name="_DigiStream JP 2006 externe omzet_20051024_LPM PL 20101014 Concept" xfId="1722"/>
    <cellStyle name="_DigiStream JP 2006 externe omzet_20051024_LPM PL 20101028 obv LRIC inkoop" xfId="1723"/>
    <cellStyle name="_DigiStream JP 2006 externe omzet_20051024_LPM Zakelijk DSL 20100520 inclusief XS4ALL na 15 mei 2010 Concept" xfId="221"/>
    <cellStyle name="_DigiStream JP 2006 externe omzet_20051024_LPM Zakelijk Glas bedrijventerreinen_20100401_v1.0 test PB" xfId="222"/>
    <cellStyle name="_DigiStream JP 2006 externe omzet_20051024_LPM Zakelijk Glas Stedelijk 20100617 Concept" xfId="223"/>
    <cellStyle name="_DigiStream JP 2006 externe omzet_20051024_LPM Zakelijk Glas Stedelijk 20101013 Concept" xfId="224"/>
    <cellStyle name="_DigiStream JP 2006 externe omzet_20051024_Menucard_Staff_Master_2010-09-12" xfId="1724"/>
    <cellStyle name="_DigiStream JP 2006 externe omzet_20051024_ND5 squeeze model  whs-whs v2.21 DWDM ILL" xfId="1725"/>
    <cellStyle name="_DigiStream JP 2006 externe omzet_20051024_toets DSL 2010-11-18 obv LPM IP VPN + ONE 20101028" xfId="225"/>
    <cellStyle name="_DigiStream JP 2006 externe omzet_20051024_toets DSL 2010-11-22 obv LPM IP VPN + ONE 20101028" xfId="226"/>
    <cellStyle name="_DigiStream JP 2006 externe omzet_20051024_Zakelijk DSL Model 20100416_v1.1_inclusief XS4ALL" xfId="227"/>
    <cellStyle name="_DigiStream JP 2006 externe omzet_20051024_Zakelijk Glas Stedelijk_2010_v0.1 test PB" xfId="228"/>
    <cellStyle name="_DigiStream JP 2006 externe omzet_20051024_ZM IS Data Tarievenboek 2010-03-11" xfId="229"/>
    <cellStyle name="_Discussie maandverdeling" xfId="1726"/>
    <cellStyle name="_Discussie maandverdeling 2" xfId="1727"/>
    <cellStyle name="_Discussie maandverdeling 2 2" xfId="4749"/>
    <cellStyle name="_Discussie maandverdeling 3" xfId="4750"/>
    <cellStyle name="_Discussie maandverdeling 3 2" xfId="4751"/>
    <cellStyle name="_Discussie maandverdeling 4" xfId="4752"/>
    <cellStyle name="_Discussie maandverdeling 5" xfId="4753"/>
    <cellStyle name="_Discussie maandverdeling_110810_Overzicht_Orderintake" xfId="4754"/>
    <cellStyle name="_Discussie maandverdeling_20080530 Consolidatie Businessplan v12" xfId="1728"/>
    <cellStyle name="_Discussie maandverdeling_20080530 Consolidatie Businessplan v12 2" xfId="1729"/>
    <cellStyle name="_Discussie maandverdeling_20080530 Consolidatie Businessplan v12 2 2" xfId="4755"/>
    <cellStyle name="_Discussie maandverdeling_20080530 Consolidatie Businessplan v12 3" xfId="4756"/>
    <cellStyle name="_Discussie maandverdeling_20080530 Consolidatie Businessplan v12 3 2" xfId="4757"/>
    <cellStyle name="_Discussie maandverdeling_20080530 Consolidatie Businessplan v12 4" xfId="4758"/>
    <cellStyle name="_Discussie maandverdeling_20080530 Consolidatie Businessplan v12 5" xfId="4759"/>
    <cellStyle name="_Discussie maandverdeling_20080530 Consolidatie Businessplan v12_Blad2" xfId="1730"/>
    <cellStyle name="_Discussie maandverdeling_20080530 Consolidatie Businessplan v12_Blad2 2" xfId="1731"/>
    <cellStyle name="_Discussie maandverdeling_20080530 Consolidatie Businessplan v12_Blad2_JP2011" xfId="1732"/>
    <cellStyle name="_Discussie maandverdeling_20080530 Consolidatie Businessplan v12_JP2011" xfId="1733"/>
    <cellStyle name="_Discussie maandverdeling_20080530 Consolidatie Businessplan v12_Model Plan 2012" xfId="1734"/>
    <cellStyle name="_Discussie maandverdeling_20080605 Consolidatie Businessplan v15" xfId="1735"/>
    <cellStyle name="_Discussie maandverdeling_20080605 Consolidatie Businessplan v15 2" xfId="1736"/>
    <cellStyle name="_Discussie maandverdeling_20080605 Consolidatie Businessplan v15 2 2" xfId="4760"/>
    <cellStyle name="_Discussie maandverdeling_20080605 Consolidatie Businessplan v15 3" xfId="4761"/>
    <cellStyle name="_Discussie maandverdeling_20080605 Consolidatie Businessplan v15 3 2" xfId="4762"/>
    <cellStyle name="_Discussie maandverdeling_20080605 Consolidatie Businessplan v15 4" xfId="4763"/>
    <cellStyle name="_Discussie maandverdeling_20080605 Consolidatie Businessplan v15 5" xfId="4764"/>
    <cellStyle name="_Discussie maandverdeling_20080605 Consolidatie Businessplan v15_Blad2" xfId="1737"/>
    <cellStyle name="_Discussie maandverdeling_20080605 Consolidatie Businessplan v15_Blad2 2" xfId="1738"/>
    <cellStyle name="_Discussie maandverdeling_20080605 Consolidatie Businessplan v15_Blad2_JP2011" xfId="1739"/>
    <cellStyle name="_Discussie maandverdeling_20080605 Consolidatie Businessplan v15_JP2011" xfId="1740"/>
    <cellStyle name="_Discussie maandverdeling_20080605 Consolidatie Businessplan v15_Model Plan 2012" xfId="1741"/>
    <cellStyle name="_Discussie maandverdeling_20080605 Consolidatie Businessplan v19" xfId="1742"/>
    <cellStyle name="_Discussie maandverdeling_20080605 Consolidatie Businessplan v19 2" xfId="1743"/>
    <cellStyle name="_Discussie maandverdeling_20080605 Consolidatie Businessplan v19 2 2" xfId="4765"/>
    <cellStyle name="_Discussie maandverdeling_20080605 Consolidatie Businessplan v19 3" xfId="4766"/>
    <cellStyle name="_Discussie maandverdeling_20080605 Consolidatie Businessplan v19 3 2" xfId="4767"/>
    <cellStyle name="_Discussie maandverdeling_20080605 Consolidatie Businessplan v19 4" xfId="4768"/>
    <cellStyle name="_Discussie maandverdeling_20080605 Consolidatie Businessplan v19 5" xfId="4769"/>
    <cellStyle name="_Discussie maandverdeling_20080605 Consolidatie Businessplan v19_Blad2" xfId="1744"/>
    <cellStyle name="_Discussie maandverdeling_20080605 Consolidatie Businessplan v19_Blad2 2" xfId="1745"/>
    <cellStyle name="_Discussie maandverdeling_20080605 Consolidatie Businessplan v19_Blad2_JP2011" xfId="1746"/>
    <cellStyle name="_Discussie maandverdeling_20080605 Consolidatie Businessplan v19_JP2011" xfId="1747"/>
    <cellStyle name="_Discussie maandverdeling_20080605 Consolidatie Businessplan v19_Model Plan 2012" xfId="1748"/>
    <cellStyle name="_Discussie maandverdeling_BenI" xfId="4770"/>
    <cellStyle name="_Discussie maandverdeling_Blad2" xfId="1749"/>
    <cellStyle name="_Discussie maandverdeling_Blad2 2" xfId="1750"/>
    <cellStyle name="_Discussie maandverdeling_Blad2_JP2011" xfId="1751"/>
    <cellStyle name="_Discussie maandverdeling_Fixed Data" xfId="4771"/>
    <cellStyle name="_Discussie maandverdeling_JP2011" xfId="1752"/>
    <cellStyle name="_Discussie maandverdeling_Model Plan 2012" xfId="1753"/>
    <cellStyle name="_Discussie maandverdeling_SWOL" xfId="4772"/>
    <cellStyle name="_divisieZM-2007-1" xfId="1754"/>
    <cellStyle name="_Doc-000" xfId="230"/>
    <cellStyle name="_Doc-101" xfId="231"/>
    <cellStyle name="_Doc-101 2" xfId="232"/>
    <cellStyle name="_Doc-101 2 2" xfId="4773"/>
    <cellStyle name="_Doc-101 3" xfId="1755"/>
    <cellStyle name="_Doc-101 3 2" xfId="4774"/>
    <cellStyle name="_Doc-101 4" xfId="4775"/>
    <cellStyle name="_Doc-101 5" xfId="4776"/>
    <cellStyle name="_Doc-101_ND5 squeeze model  whs-whs v2.21 DWDM ILL" xfId="1756"/>
    <cellStyle name="_draai kosten" xfId="4777"/>
    <cellStyle name="_Drivermodel ZM NLB 080624 presentatie" xfId="1757"/>
    <cellStyle name="_drivers" xfId="233"/>
    <cellStyle name="_drivers 2" xfId="234"/>
    <cellStyle name="_drivers 2 2" xfId="4778"/>
    <cellStyle name="_drivers 3" xfId="1758"/>
    <cellStyle name="_drivers 3 2" xfId="4779"/>
    <cellStyle name="_drivers 4" xfId="4780"/>
    <cellStyle name="_drivers 5" xfId="4781"/>
    <cellStyle name="_drivers_110810_Overzicht_Orderintake" xfId="4782"/>
    <cellStyle name="_drivers_20080530 Consolidatie Businessplan v12" xfId="1759"/>
    <cellStyle name="_drivers_20080530 Consolidatie Businessplan v12 2" xfId="1760"/>
    <cellStyle name="_drivers_20080530 Consolidatie Businessplan v12 2 2" xfId="4783"/>
    <cellStyle name="_drivers_20080530 Consolidatie Businessplan v12 3" xfId="4784"/>
    <cellStyle name="_drivers_20080530 Consolidatie Businessplan v12 3 2" xfId="4785"/>
    <cellStyle name="_drivers_20080530 Consolidatie Businessplan v12 4" xfId="4786"/>
    <cellStyle name="_drivers_20080530 Consolidatie Businessplan v12 5" xfId="4787"/>
    <cellStyle name="_drivers_20080530 Consolidatie Businessplan v12_Blad2" xfId="1761"/>
    <cellStyle name="_drivers_20080530 Consolidatie Businessplan v12_Blad2 2" xfId="1762"/>
    <cellStyle name="_drivers_20080530 Consolidatie Businessplan v12_Blad2_JP2011" xfId="1763"/>
    <cellStyle name="_drivers_20080530 Consolidatie Businessplan v12_JP2011" xfId="1764"/>
    <cellStyle name="_drivers_20080530 Consolidatie Businessplan v12_Model Plan 2012" xfId="1765"/>
    <cellStyle name="_drivers_20080605 Consolidatie Businessplan v15" xfId="1766"/>
    <cellStyle name="_drivers_20080605 Consolidatie Businessplan v15 2" xfId="1767"/>
    <cellStyle name="_drivers_20080605 Consolidatie Businessplan v15 2 2" xfId="4788"/>
    <cellStyle name="_drivers_20080605 Consolidatie Businessplan v15 3" xfId="4789"/>
    <cellStyle name="_drivers_20080605 Consolidatie Businessplan v15 3 2" xfId="4790"/>
    <cellStyle name="_drivers_20080605 Consolidatie Businessplan v15 4" xfId="4791"/>
    <cellStyle name="_drivers_20080605 Consolidatie Businessplan v15 5" xfId="4792"/>
    <cellStyle name="_drivers_20080605 Consolidatie Businessplan v15_Blad2" xfId="1768"/>
    <cellStyle name="_drivers_20080605 Consolidatie Businessplan v15_Blad2 2" xfId="1769"/>
    <cellStyle name="_drivers_20080605 Consolidatie Businessplan v15_Blad2_JP2011" xfId="1770"/>
    <cellStyle name="_drivers_20080605 Consolidatie Businessplan v15_JP2011" xfId="1771"/>
    <cellStyle name="_drivers_20080605 Consolidatie Businessplan v15_Model Plan 2012" xfId="1772"/>
    <cellStyle name="_drivers_20080605 Consolidatie Businessplan v19" xfId="1773"/>
    <cellStyle name="_drivers_20080605 Consolidatie Businessplan v19 2" xfId="1774"/>
    <cellStyle name="_drivers_20080605 Consolidatie Businessplan v19 2 2" xfId="4793"/>
    <cellStyle name="_drivers_20080605 Consolidatie Businessplan v19 3" xfId="4794"/>
    <cellStyle name="_drivers_20080605 Consolidatie Businessplan v19 3 2" xfId="4795"/>
    <cellStyle name="_drivers_20080605 Consolidatie Businessplan v19 4" xfId="4796"/>
    <cellStyle name="_drivers_20080605 Consolidatie Businessplan v19 5" xfId="4797"/>
    <cellStyle name="_drivers_20080605 Consolidatie Businessplan v19_Blad2" xfId="1775"/>
    <cellStyle name="_drivers_20080605 Consolidatie Businessplan v19_Blad2 2" xfId="1776"/>
    <cellStyle name="_drivers_20080605 Consolidatie Businessplan v19_Blad2_JP2011" xfId="1777"/>
    <cellStyle name="_drivers_20080605 Consolidatie Businessplan v19_JP2011" xfId="1778"/>
    <cellStyle name="_drivers_20080605 Consolidatie Businessplan v19_Model Plan 2012" xfId="1779"/>
    <cellStyle name="_drivers_BenI" xfId="4798"/>
    <cellStyle name="_drivers_Blad2" xfId="1780"/>
    <cellStyle name="_drivers_Blad2 2" xfId="1781"/>
    <cellStyle name="_drivers_Blad2_JP2011" xfId="1782"/>
    <cellStyle name="_drivers_Fixed Data" xfId="4799"/>
    <cellStyle name="_drivers_JP2011" xfId="1783"/>
    <cellStyle name="_drivers_Model Plan 2012" xfId="1784"/>
    <cellStyle name="_drivers_ND5 squeeze model  whs-whs v2.21 DWDM ILL" xfId="1785"/>
    <cellStyle name="_drivers_OIT data LE,SCM,INS,targets" xfId="4800"/>
    <cellStyle name="_drivers_SWOL" xfId="4801"/>
    <cellStyle name="_DSL weekrapp wk20 2005" xfId="235"/>
    <cellStyle name="_DSL weekrapp wk20 2005 2" xfId="236"/>
    <cellStyle name="_DSL weekrapp wk20 2005 3" xfId="1786"/>
    <cellStyle name="_DSL weekrapp wk20 2005_ND5 squeeze model  whs-whs v2.21 DWDM ILL" xfId="1787"/>
    <cellStyle name="_DSL weekrapp wk3 2005" xfId="4802"/>
    <cellStyle name="_DSL weekrapp wk3 2005 2" xfId="4803"/>
    <cellStyle name="_DSL weekrapp wk3 2005 2 2" xfId="4804"/>
    <cellStyle name="_DSL weekrapp wk3 2005 3" xfId="4805"/>
    <cellStyle name="_DSL weekrapp wk3 2005 3 2" xfId="4806"/>
    <cellStyle name="_DSL weekrapp wk3 2005 4" xfId="4807"/>
    <cellStyle name="_DSL weekrapp wk3 2005 5" xfId="4808"/>
    <cellStyle name="_DSM - 08 MW 3 Nov" xfId="1788"/>
    <cellStyle name="_DSM pricingsheet per country 3 0" xfId="1789"/>
    <cellStyle name="_DSM pricingsheet per country 3 0_ManInput" xfId="1790"/>
    <cellStyle name="_DSM pricingsheet per country 3 0_ManInput_Sheet1" xfId="1791"/>
    <cellStyle name="_dsmp forecast 13 oct" xfId="1792"/>
    <cellStyle name="_DWDM ILL tarief update 28-3-2011" xfId="1793"/>
    <cellStyle name="_DWDM ILL tariefvoorstel 30-9-09" xfId="1794"/>
    <cellStyle name="_Early Warning Raportage - Week 39" xfId="4809"/>
    <cellStyle name="_Early Warning Raportage - Week 39 2" xfId="4810"/>
    <cellStyle name="_Early Warning Raportage - Week 39 2 2" xfId="4811"/>
    <cellStyle name="_Early Warning Raportage - Week 39 3" xfId="4812"/>
    <cellStyle name="_Early Warning Raportage - Week 39 3 2" xfId="4813"/>
    <cellStyle name="_Early Warning Raportage - Week 39 4" xfId="4814"/>
    <cellStyle name="_Early Warning Raportage - Week 39 5" xfId="4815"/>
    <cellStyle name="_Economy IP-VPN" xfId="237"/>
    <cellStyle name="_Economy IP-VPN_ZM IS Data Tarievenboek 2010-03-11" xfId="238"/>
    <cellStyle name="_eliminaties_VT" xfId="239"/>
    <cellStyle name="_eliminaties_VT 2" xfId="1795"/>
    <cellStyle name="_eliminaties_VT 2 2" xfId="1796"/>
    <cellStyle name="_EMEA BC Model_Apr 01 - v1" xfId="240"/>
    <cellStyle name="_EMEA BC Model_Apr 01 - v1 2" xfId="241"/>
    <cellStyle name="_EMEA BC Model_Apr 01 - v1 3" xfId="1797"/>
    <cellStyle name="_EMEA BC Model_Apr 01 - v1_ND5 squeeze model  whs-whs v2.21 DWDM ILL" xfId="1798"/>
    <cellStyle name="_ENS Businessplan (short) 2008-2010 (20071105) - Ingeleverd" xfId="1799"/>
    <cellStyle name="_ENS Businessplan (short) 2008-2010 (20071105) - Ingeleverd 2" xfId="1800"/>
    <cellStyle name="_ENS Businessplan (short) 2008-2010 (20071105) - Ingeleverd 2 2" xfId="4816"/>
    <cellStyle name="_ENS Businessplan (short) 2008-2010 (20071105) - Ingeleverd 3" xfId="4817"/>
    <cellStyle name="_ENS Businessplan (short) 2008-2010 (20071105) - Ingeleverd 3 2" xfId="4818"/>
    <cellStyle name="_ENS Businessplan (short) 2008-2010 (20071105) - Ingeleverd 4" xfId="4819"/>
    <cellStyle name="_ENS Businessplan (short) 2008-2010 (20071105) - Ingeleverd 5" xfId="4820"/>
    <cellStyle name="_ENS Businessplan (short) 2008-2010 (20071105) - Ingeleverd_Blad2" xfId="1801"/>
    <cellStyle name="_ENS Businessplan (short) 2008-2010 (20071105) - Ingeleverd_Blad2 2" xfId="1802"/>
    <cellStyle name="_ENS Businessplan (short) 2008-2010 (20071105) - Ingeleverd_Blad2_JP2011" xfId="1803"/>
    <cellStyle name="_ENS Businessplan (short) 2008-2010 (20071105) - Ingeleverd_JP2011" xfId="1804"/>
    <cellStyle name="_ENS Businessplan (short) 2008-2010 (20071105) - Ingeleverd_Model Plan 2012" xfId="1805"/>
    <cellStyle name="_ENS VAS items_3" xfId="242"/>
    <cellStyle name="_ENS VAS items_3 2" xfId="1806"/>
    <cellStyle name="_ENS VAS items_3 2 2" xfId="1807"/>
    <cellStyle name="_Excel bijlage ML BD maart" xfId="1808"/>
    <cellStyle name="_excelopexversie1" xfId="243"/>
    <cellStyle name="_excelopexversie1 2" xfId="1809"/>
    <cellStyle name="_excelopexversie1 2 2" xfId="1810"/>
    <cellStyle name="_excelopexversie1_EVPN Model_20102601_v0.1" xfId="244"/>
    <cellStyle name="_excelopexversie1_KWT IS Data 2010-10-07" xfId="1811"/>
    <cellStyle name="_excelopexversie1_ND5 squeeze model  whs-whs v2.21 DWDM ILL" xfId="1812"/>
    <cellStyle name="_excelopexversie1_ZM IS Data Tarievenboek 2010-03-11" xfId="245"/>
    <cellStyle name="_Export" xfId="246"/>
    <cellStyle name="_Export 2" xfId="247"/>
    <cellStyle name="_Export 3" xfId="1813"/>
    <cellStyle name="_Export_ND5 squeeze model  whs-whs v2.21 DWDM ILL" xfId="1814"/>
    <cellStyle name="_Externe omzet&amp;kosten" xfId="248"/>
    <cellStyle name="_Externe omzet&amp;kosten 2" xfId="249"/>
    <cellStyle name="_Externe omzet&amp;kosten 3" xfId="1815"/>
    <cellStyle name="_Externe omzet&amp;kosten_ND5 squeeze model  whs-whs v2.21 DWDM ILL" xfId="1816"/>
    <cellStyle name="_FACTSHEET 2011" xfId="4821"/>
    <cellStyle name="_FACTSHEET 2012" xfId="4822"/>
    <cellStyle name="_Fixed Data" xfId="4823"/>
    <cellStyle name="_Fixed Data PQ" xfId="4824"/>
    <cellStyle name="_Flash versie 070808 09 00 hr" xfId="4825"/>
    <cellStyle name="_Flash versie 070808 09 00 hr 2" xfId="4826"/>
    <cellStyle name="_Flash versie 070808 09 00 hr 2 2" xfId="4827"/>
    <cellStyle name="_Flash versie 070808 09 00 hr 3" xfId="4828"/>
    <cellStyle name="_Flash versie 070808 09 00 hr 3 2" xfId="4829"/>
    <cellStyle name="_Flash versie 070808 09 00 hr 4" xfId="4830"/>
    <cellStyle name="_Flash versie 070808 09 00 hr 5" xfId="4831"/>
    <cellStyle name="_Flash versie 070808 09 00 hr_110810_Overzicht_Orderintake" xfId="4832"/>
    <cellStyle name="_Flash versie 070808 09 00 hr_BenI" xfId="4833"/>
    <cellStyle name="_Flash versie 070808 09 00 hr_Fixed Data" xfId="4834"/>
    <cellStyle name="_Flash versie 070808 09 00 hr_SWOL" xfId="4835"/>
    <cellStyle name="_Flash versie 080109_09 00" xfId="4836"/>
    <cellStyle name="_Flash versie 090603 09 00" xfId="4837"/>
    <cellStyle name="_Flash versie 090703 15 00 (2)" xfId="4838"/>
    <cellStyle name="_flashformat2005" xfId="250"/>
    <cellStyle name="_flashformat2005 2" xfId="1817"/>
    <cellStyle name="_flashformat2005 2 2" xfId="1818"/>
    <cellStyle name="_flashformat2006" xfId="251"/>
    <cellStyle name="_flashformat2006 2" xfId="1819"/>
    <cellStyle name="_flashformat2006 2 2" xfId="1820"/>
    <cellStyle name="_Ford - 08 V1" xfId="1821"/>
    <cellStyle name="_Forecast IC JEV_v5" xfId="1822"/>
    <cellStyle name="_Forecast IC JEV_v5 2" xfId="1823"/>
    <cellStyle name="_Forecast IC JEV_v5_Blad2" xfId="1824"/>
    <cellStyle name="_Forecast IC JEV_v5_Blad2 2" xfId="1825"/>
    <cellStyle name="_Forecast IC JEV_v5_Blad2_JP2011" xfId="1826"/>
    <cellStyle name="_Forecast IC JEV_v5_JP2011" xfId="1827"/>
    <cellStyle name="_Forecast IC JEV_v5_Model Plan 2012" xfId="1828"/>
    <cellStyle name="_Forecast p1-2007" xfId="1829"/>
    <cellStyle name="_Format finance sheet xs4all jan 06" xfId="4839"/>
    <cellStyle name="_Format finance sheet xs4all jan 06 2" xfId="4840"/>
    <cellStyle name="_Format finance sheet xs4all jan 06 2 2" xfId="4841"/>
    <cellStyle name="_Format finance sheet xs4all jan 06 3" xfId="4842"/>
    <cellStyle name="_Format finance sheet xs4all jan 06 3 2" xfId="4843"/>
    <cellStyle name="_Format finance sheet xs4all jan 06 4" xfId="4844"/>
    <cellStyle name="_Format finance sheet xs4all jan 06 5" xfId="4845"/>
    <cellStyle name="_Format_BBSC Entercom 2003" xfId="1830"/>
    <cellStyle name="_Format_BBSC Entercom 2003 2" xfId="4846"/>
    <cellStyle name="_Format_BBSC Entercom 2003 2 2" xfId="4847"/>
    <cellStyle name="_Format_BBSC Entercom 2003 3" xfId="4848"/>
    <cellStyle name="_Format_BBSC Entercom 2003 3 2" xfId="4849"/>
    <cellStyle name="_Format_BBSC Entercom 2003 4" xfId="4850"/>
    <cellStyle name="_Format_BBSC Entercom 2003 5" xfId="4851"/>
    <cellStyle name="_Format_BBSC Entercom 2003_090909 GTN - ZM master_update-GTN" xfId="1831"/>
    <cellStyle name="_Format_BBSC Entercom 2003_Blad1" xfId="1832"/>
    <cellStyle name="_Format_BBSC Entercom 2003_Blad1 2" xfId="1833"/>
    <cellStyle name="_Format_BBSC Entercom 2003_Blad1_Blad2" xfId="1834"/>
    <cellStyle name="_Format_BBSC Entercom 2003_Blad1_Blad2 2" xfId="1835"/>
    <cellStyle name="_Format_BBSC Entercom 2003_Blad1_Blad2_JP2011" xfId="1836"/>
    <cellStyle name="_Format_BBSC Entercom 2003_Blad1_JP2011" xfId="1837"/>
    <cellStyle name="_Format_BBSC Entercom 2003_Blad1_Menucard_Staff_Master_2010-09-12" xfId="1838"/>
    <cellStyle name="_Format_BBSC Entercom 2003_Blad1_Model Plan 2012" xfId="1839"/>
    <cellStyle name="_Format_BBSC Entercom 2003_Menucard_Staff_Master_2010-09-12" xfId="1840"/>
    <cellStyle name="_FTE Targets ZM 2006 18-04" xfId="1841"/>
    <cellStyle name="_Fttc en FTTH berekening" xfId="252"/>
    <cellStyle name="_funnel OIT" xfId="253"/>
    <cellStyle name="_funnel OIT 2" xfId="254"/>
    <cellStyle name="_funnel OIT 2 2" xfId="1842"/>
    <cellStyle name="_funnel OIT 3" xfId="1843"/>
    <cellStyle name="_funnel OIT 3 2" xfId="4852"/>
    <cellStyle name="_funnel OIT 4" xfId="4853"/>
    <cellStyle name="_funnel OIT 5" xfId="4854"/>
    <cellStyle name="_funnel OIT_Blad2" xfId="1844"/>
    <cellStyle name="_funnel OIT_Blad2 2" xfId="1845"/>
    <cellStyle name="_funnel OIT_Blad2_JP2011" xfId="1846"/>
    <cellStyle name="_funnel OIT_EVPN Model_20102601_v0.1" xfId="255"/>
    <cellStyle name="_funnel OIT_JP2011" xfId="1847"/>
    <cellStyle name="_funnel OIT_KWT IS Data 2010-10-07" xfId="1848"/>
    <cellStyle name="_funnel OIT_Model Plan 2012" xfId="1849"/>
    <cellStyle name="_funnel OIT_ND5 squeeze model  whs-whs v2.21 DWDM ILL" xfId="1850"/>
    <cellStyle name="_funnel OIT_ZM IS Data Tarievenboek 2010-03-11" xfId="256"/>
    <cellStyle name="_G4S - 08 TEMPLATE (2)" xfId="1851"/>
    <cellStyle name="_Getronics UK 2008 Revenue Forecast FC0 v2F" xfId="1852"/>
    <cellStyle name="_GL-B&amp;I and Mobile monthly 2009" xfId="4855"/>
    <cellStyle name="_go to mkt view 092302" xfId="257"/>
    <cellStyle name="_go to mkt view 092302 2" xfId="258"/>
    <cellStyle name="_go to mkt view 092302 3" xfId="1853"/>
    <cellStyle name="_go to mkt view 092302_ND5 squeeze model  whs-whs v2.21 DWDM ILL" xfId="1854"/>
    <cellStyle name="_Goedgekeurde budgetten PAC CM" xfId="4856"/>
    <cellStyle name="_go-to-mkt fin file 092502" xfId="259"/>
    <cellStyle name="_go-to-mkt fin file 092502 2" xfId="260"/>
    <cellStyle name="_go-to-mkt fin file 092502 3" xfId="1855"/>
    <cellStyle name="_go-to-mkt fin file 092502_ND5 squeeze model  whs-whs v2.21 DWDM ILL" xfId="1856"/>
    <cellStyle name="_GPMO Management reporting Barclays May 07 v 0 1 SO" xfId="1857"/>
    <cellStyle name="_Grootboek data Bas" xfId="4857"/>
    <cellStyle name="_GUNS Number and Customer Name" xfId="1858"/>
    <cellStyle name="_HBOS - 08 V1" xfId="1859"/>
    <cellStyle name="_High level BP 2007 - 2010 Dummyversie 15 april 2008" xfId="1860"/>
    <cellStyle name="_hosting 2008" xfId="1861"/>
    <cellStyle name="_hosting 2008 aangepast in ex v2 (3)" xfId="1862"/>
    <cellStyle name="_IC board 15 dec 09 correcties ZM" xfId="4858"/>
    <cellStyle name="_IC board 15 dec 09 correcties ZM 2" xfId="4859"/>
    <cellStyle name="_IC board 15 dec 09 correcties ZM 2 2" xfId="4860"/>
    <cellStyle name="_IC board 15 dec 09 correcties ZM 3" xfId="4861"/>
    <cellStyle name="_IC board 15 dec 09 correcties ZM 3 2" xfId="4862"/>
    <cellStyle name="_IC board 15 dec 09 correcties ZM 4" xfId="4863"/>
    <cellStyle name="_IC board 15 dec 09 correcties ZM 5" xfId="4864"/>
    <cellStyle name="_IC en D&amp;A" xfId="4865"/>
    <cellStyle name="_IC en D&amp;A 2" xfId="4866"/>
    <cellStyle name="_IC en D&amp;A 2 2" xfId="4867"/>
    <cellStyle name="_IC en D&amp;A 3" xfId="4868"/>
    <cellStyle name="_IC en D&amp;A 3 2" xfId="4869"/>
    <cellStyle name="_IC en D&amp;A 4" xfId="4870"/>
    <cellStyle name="_IC en D&amp;A 5" xfId="4871"/>
    <cellStyle name="_IC rev-cost-deltas aug-07 JEV 24sept07" xfId="1863"/>
    <cellStyle name="_IC rev-cost-deltas aug-07 JEV 24sept07 2" xfId="1864"/>
    <cellStyle name="_IC rev-cost-deltas aug-07 JEV 24sept07 2 2" xfId="4872"/>
    <cellStyle name="_IC rev-cost-deltas aug-07 JEV 24sept07 3" xfId="4873"/>
    <cellStyle name="_IC rev-cost-deltas aug-07 JEV 24sept07 3 2" xfId="4874"/>
    <cellStyle name="_IC rev-cost-deltas aug-07 JEV 24sept07 4" xfId="4875"/>
    <cellStyle name="_IC rev-cost-deltas aug-07 JEV 24sept07 5" xfId="4876"/>
    <cellStyle name="_IC rev-cost-deltas aug-07 JEV 24sept07_Blad2" xfId="1865"/>
    <cellStyle name="_IC rev-cost-deltas aug-07 JEV 24sept07_Blad2 2" xfId="1866"/>
    <cellStyle name="_IC rev-cost-deltas aug-07 JEV 24sept07_Blad2_JP2011" xfId="1867"/>
    <cellStyle name="_IC rev-cost-deltas aug-07 JEV 24sept07_JP2011" xfId="1868"/>
    <cellStyle name="_IC rev-cost-deltas aug-07 JEV 24sept07_Model Plan 2012" xfId="1869"/>
    <cellStyle name="_IC revenue-exp (2)" xfId="1870"/>
    <cellStyle name="_IC revenue-exp (2) 2" xfId="1871"/>
    <cellStyle name="_IC revenue-exp (2)_Blad2" xfId="1872"/>
    <cellStyle name="_IC revenue-exp (2)_Blad2 2" xfId="1873"/>
    <cellStyle name="_IC revenue-exp (2)_Blad2_JP2011" xfId="1874"/>
    <cellStyle name="_IC revenue-exp (2)_ICS plan 2010 origineel v9 10-09" xfId="1875"/>
    <cellStyle name="_IC revenue-exp (2)_JP2011" xfId="1876"/>
    <cellStyle name="_IC revenue-exp (2)_Maand Capex" xfId="1877"/>
    <cellStyle name="_IC revenue-exp (2)_Maand Capex 2" xfId="1878"/>
    <cellStyle name="_IC revenue-exp (2)_Maand Capex_Blad2" xfId="1879"/>
    <cellStyle name="_IC revenue-exp (2)_Maand Capex_Blad2 2" xfId="1880"/>
    <cellStyle name="_IC revenue-exp (2)_Maand Capex_Blad2_JP2011" xfId="1881"/>
    <cellStyle name="_IC revenue-exp (2)_Maand Capex_JP2011" xfId="1882"/>
    <cellStyle name="_IC revenue-exp (2)_ML_Generic_1 1 input Capex incl maandplan_v2" xfId="1883"/>
    <cellStyle name="_IC revenue-exp (2)_Model Plan 2012" xfId="1884"/>
    <cellStyle name="_ICELAND - 08 LW v1" xfId="1885"/>
    <cellStyle name="_IC's JP 2007 070104 RF - concept" xfId="1886"/>
    <cellStyle name="_IC's JP 2007 070104 RF - concept 2" xfId="1887"/>
    <cellStyle name="_IC's JP 2007 070104 RF - concept 2 2" xfId="4877"/>
    <cellStyle name="_IC's JP 2007 070104 RF - concept 3" xfId="4878"/>
    <cellStyle name="_IC's JP 2007 070104 RF - concept 3 2" xfId="4879"/>
    <cellStyle name="_IC's JP 2007 070104 RF - concept 4" xfId="4880"/>
    <cellStyle name="_IC's JP 2007 070104 RF - concept 5" xfId="4881"/>
    <cellStyle name="_IC's JP 2007 070104 RF - concept_Blad2" xfId="1888"/>
    <cellStyle name="_IC's JP 2007 070104 RF - concept_Blad2 2" xfId="1889"/>
    <cellStyle name="_IC's JP 2007 070104 RF - concept_Blad2_JP2011" xfId="1890"/>
    <cellStyle name="_IC's JP 2007 070104 RF - concept_JP2011" xfId="1891"/>
    <cellStyle name="_IC's JP 2007 070104 RF - concept_Model Plan 2012" xfId="1892"/>
    <cellStyle name="_ICT template (3)" xfId="1893"/>
    <cellStyle name="_ICT_Serv_BP2008-2010_versie uitvraag_AMS" xfId="1894"/>
    <cellStyle name="_ICT_Serv_BP2008-2010_versie uitvraag_AMS 2" xfId="1895"/>
    <cellStyle name="_ICT_Serv_BP2008-2010_versie uitvraag_AMS_Blad2" xfId="1896"/>
    <cellStyle name="_ICT_Serv_BP2008-2010_versie uitvraag_AMS_Blad2 2" xfId="1897"/>
    <cellStyle name="_ICT_Serv_BP2008-2010_versie uitvraag_AMS_Blad2_JP2011" xfId="1898"/>
    <cellStyle name="_ICT_Serv_BP2008-2010_versie uitvraag_AMS_JP2011" xfId="1899"/>
    <cellStyle name="_ICT_Serv_BP2008-2010_versie uitvraag_AMS_Model Plan 2012" xfId="1900"/>
    <cellStyle name="_IFRSre029" xfId="261"/>
    <cellStyle name="_ILL sales tool juni 08 V1.0 (juli08 tm dec08) met standaard digitaal" xfId="262"/>
    <cellStyle name="_iml nov2010" xfId="4882"/>
    <cellStyle name="_INEOS - 08 TEMPLATE sdm UPDATES" xfId="1901"/>
    <cellStyle name="_Info profiel Q4" xfId="1902"/>
    <cellStyle name="_Info profiel Q4 2" xfId="1903"/>
    <cellStyle name="_Info profiel Q4 2 2" xfId="4883"/>
    <cellStyle name="_Info profiel Q4 3" xfId="4884"/>
    <cellStyle name="_Info profiel Q4 3 2" xfId="4885"/>
    <cellStyle name="_Info profiel Q4 4" xfId="4886"/>
    <cellStyle name="_Info profiel Q4 5" xfId="4887"/>
    <cellStyle name="_Info profiel Q4_FC categoraal" xfId="1904"/>
    <cellStyle name="_Info profiel Q4_GDC nieuwe pfc cc jan  2011 v4" xfId="1905"/>
    <cellStyle name="_Info profiel Q4_JP2011" xfId="1906"/>
    <cellStyle name="_Info profiel Q4_JP2011 2" xfId="1907"/>
    <cellStyle name="_Info profiel Q4_JP2011_1" xfId="1908"/>
    <cellStyle name="_Info profiel Q4_Pivot" xfId="4888"/>
    <cellStyle name="_Info profiel Q4_PPT Link" xfId="4889"/>
    <cellStyle name="_Info profiel Q4_Preclosing" xfId="1909"/>
    <cellStyle name="_Info profiel Q4_Preclosing 2" xfId="1910"/>
    <cellStyle name="_Info profiel Q4_Preclosing jan11" xfId="1911"/>
    <cellStyle name="_Info profiel Q4_Preclosing_1" xfId="1912"/>
    <cellStyle name="_Info profiel Q4_Preclosing_2" xfId="1913"/>
    <cellStyle name="_Info profiel Q4_Preclosing_3" xfId="1914"/>
    <cellStyle name="_Info profiel Q4_Preclosing_FC categoraal" xfId="1915"/>
    <cellStyle name="_Info profiel Q4_Sheet1" xfId="1916"/>
    <cellStyle name="_Info profiel Q4_Sheet1_1" xfId="1917"/>
    <cellStyle name="_Info profiel Q4_Sheet1_1 2" xfId="1918"/>
    <cellStyle name="_Info profiel Q4_Sheet1_1_FC categoraal" xfId="1919"/>
    <cellStyle name="_Info profiel Q4_Sheet1_2" xfId="1920"/>
    <cellStyle name="_Info profiel Q4_Sheet1_2 2" xfId="1921"/>
    <cellStyle name="_Info profiel Q4_Sheet2" xfId="1922"/>
    <cellStyle name="_info uitvraag BU CS mei  2005" xfId="1923"/>
    <cellStyle name="_info uitvraag BU CS mei  2005_Book2" xfId="1924"/>
    <cellStyle name="_info uitvraag BU CS mei  2005_Book3" xfId="1925"/>
    <cellStyle name="_info uitvraag BU CS mei  2005_ICS KPI" xfId="1926"/>
    <cellStyle name="_info uitvraag BU CS mei 2004" xfId="263"/>
    <cellStyle name="_info uitvraag BU CS mei 2004_LPM PL 20101014 Concept" xfId="1927"/>
    <cellStyle name="_info uitvraag BU CS mei 2004_LPM PL 20101028 obv LRIC inkoop" xfId="1928"/>
    <cellStyle name="_info uitvraag BU CS mei 2004_ND5 squeeze model  whs-whs v2.21 DWDM ILL" xfId="1929"/>
    <cellStyle name="_info uitvraag BU CS september 2004" xfId="1930"/>
    <cellStyle name="_info uitvraag BU CS september 2004_Book2" xfId="1931"/>
    <cellStyle name="_info uitvraag BU CS september 2004_Book3" xfId="1932"/>
    <cellStyle name="_info uitvraag BU CS september 2004_ICS KPI" xfId="1933"/>
    <cellStyle name="_informatie profiel extern omzet per kwartaal" xfId="1934"/>
    <cellStyle name="_informatie profiel extern omzet per kwartaal 2" xfId="1935"/>
    <cellStyle name="_informatie profiel extern omzet per kwartaal 2 2" xfId="4890"/>
    <cellStyle name="_informatie profiel extern omzet per kwartaal 3" xfId="4891"/>
    <cellStyle name="_informatie profiel extern omzet per kwartaal 3 2" xfId="4892"/>
    <cellStyle name="_informatie profiel extern omzet per kwartaal 4" xfId="4893"/>
    <cellStyle name="_informatie profiel extern omzet per kwartaal 5" xfId="4894"/>
    <cellStyle name="_informatie profiel extern omzet per kwartaal_FC categoraal" xfId="1936"/>
    <cellStyle name="_informatie profiel extern omzet per kwartaal_GDC nieuwe pfc cc jan  2011 v4" xfId="1937"/>
    <cellStyle name="_informatie profiel extern omzet per kwartaal_JP2011" xfId="1938"/>
    <cellStyle name="_informatie profiel extern omzet per kwartaal_JP2011 2" xfId="1939"/>
    <cellStyle name="_informatie profiel extern omzet per kwartaal_JP2011_1" xfId="1940"/>
    <cellStyle name="_informatie profiel extern omzet per kwartaal_Pivot" xfId="4895"/>
    <cellStyle name="_informatie profiel extern omzet per kwartaal_PPT Link" xfId="4896"/>
    <cellStyle name="_informatie profiel extern omzet per kwartaal_Preclosing" xfId="1941"/>
    <cellStyle name="_informatie profiel extern omzet per kwartaal_Preclosing 2" xfId="1942"/>
    <cellStyle name="_informatie profiel extern omzet per kwartaal_Preclosing jan11" xfId="1943"/>
    <cellStyle name="_informatie profiel extern omzet per kwartaal_Preclosing_1" xfId="1944"/>
    <cellStyle name="_informatie profiel extern omzet per kwartaal_Preclosing_2" xfId="1945"/>
    <cellStyle name="_informatie profiel extern omzet per kwartaal_Preclosing_3" xfId="1946"/>
    <cellStyle name="_informatie profiel extern omzet per kwartaal_Preclosing_FC categoraal" xfId="1947"/>
    <cellStyle name="_informatie profiel extern omzet per kwartaal_Sheet1" xfId="1948"/>
    <cellStyle name="_informatie profiel extern omzet per kwartaal_Sheet1_1" xfId="1949"/>
    <cellStyle name="_informatie profiel extern omzet per kwartaal_Sheet1_1 2" xfId="1950"/>
    <cellStyle name="_informatie profiel extern omzet per kwartaal_Sheet1_1_FC categoraal" xfId="1951"/>
    <cellStyle name="_informatie profiel extern omzet per kwartaal_Sheet1_2" xfId="1952"/>
    <cellStyle name="_informatie profiel extern omzet per kwartaal_Sheet1_2 2" xfId="1953"/>
    <cellStyle name="_informatie profiel extern omzet per kwartaal_Sheet2" xfId="1954"/>
    <cellStyle name="_Informatieprofiel nieuw format" xfId="1955"/>
    <cellStyle name="_Informatieprofiel nieuw format 2" xfId="1956"/>
    <cellStyle name="_Informatieprofiel nieuw format 2 2" xfId="4897"/>
    <cellStyle name="_Informatieprofiel nieuw format 3" xfId="4898"/>
    <cellStyle name="_Informatieprofiel nieuw format 3 2" xfId="4899"/>
    <cellStyle name="_Informatieprofiel nieuw format 4" xfId="4900"/>
    <cellStyle name="_Informatieprofiel nieuw format 5" xfId="4901"/>
    <cellStyle name="_Informatieprofiel nieuw format_FC categoraal" xfId="1957"/>
    <cellStyle name="_Informatieprofiel nieuw format_GDC nieuwe pfc cc jan  2011 v4" xfId="1958"/>
    <cellStyle name="_Informatieprofiel nieuw format_JP2011" xfId="1959"/>
    <cellStyle name="_Informatieprofiel nieuw format_JP2011 2" xfId="1960"/>
    <cellStyle name="_Informatieprofiel nieuw format_JP2011_1" xfId="1961"/>
    <cellStyle name="_Informatieprofiel nieuw format_Pivot" xfId="4902"/>
    <cellStyle name="_Informatieprofiel nieuw format_PPT Link" xfId="4903"/>
    <cellStyle name="_Informatieprofiel nieuw format_Preclosing" xfId="1962"/>
    <cellStyle name="_Informatieprofiel nieuw format_Preclosing 2" xfId="1963"/>
    <cellStyle name="_Informatieprofiel nieuw format_Preclosing jan11" xfId="1964"/>
    <cellStyle name="_Informatieprofiel nieuw format_Preclosing_1" xfId="1965"/>
    <cellStyle name="_Informatieprofiel nieuw format_Preclosing_2" xfId="1966"/>
    <cellStyle name="_Informatieprofiel nieuw format_Preclosing_3" xfId="1967"/>
    <cellStyle name="_Informatieprofiel nieuw format_Preclosing_FC categoraal" xfId="1968"/>
    <cellStyle name="_Informatieprofiel nieuw format_Sheet1" xfId="1969"/>
    <cellStyle name="_Informatieprofiel nieuw format_Sheet1_1" xfId="1970"/>
    <cellStyle name="_Informatieprofiel nieuw format_Sheet1_1 2" xfId="1971"/>
    <cellStyle name="_Informatieprofiel nieuw format_Sheet1_1_FC categoraal" xfId="1972"/>
    <cellStyle name="_Informatieprofiel nieuw format_Sheet1_2" xfId="1973"/>
    <cellStyle name="_Informatieprofiel nieuw format_Sheet1_2 2" xfId="1974"/>
    <cellStyle name="_Informatieprofiel nieuw format_Sheet2" xfId="1975"/>
    <cellStyle name="_informatieprofiel trend en kosten " xfId="1976"/>
    <cellStyle name="_informatieprofiel trend en kosten  2" xfId="1977"/>
    <cellStyle name="_informatieprofiel trend en kosten  2 2" xfId="4904"/>
    <cellStyle name="_informatieprofiel trend en kosten  3" xfId="4905"/>
    <cellStyle name="_informatieprofiel trend en kosten  3 2" xfId="4906"/>
    <cellStyle name="_informatieprofiel trend en kosten  4" xfId="4907"/>
    <cellStyle name="_informatieprofiel trend en kosten  5" xfId="4908"/>
    <cellStyle name="_informatieprofiel trend en kosten _FC categoraal" xfId="1978"/>
    <cellStyle name="_informatieprofiel trend en kosten _GDC nieuwe pfc cc jan  2011 v4" xfId="1979"/>
    <cellStyle name="_informatieprofiel trend en kosten _JP2011" xfId="1980"/>
    <cellStyle name="_informatieprofiel trend en kosten _JP2011 2" xfId="1981"/>
    <cellStyle name="_informatieprofiel trend en kosten _JP2011_1" xfId="1982"/>
    <cellStyle name="_informatieprofiel trend en kosten _Pivot" xfId="4909"/>
    <cellStyle name="_informatieprofiel trend en kosten _PPT Link" xfId="4910"/>
    <cellStyle name="_informatieprofiel trend en kosten _Preclosing" xfId="1983"/>
    <cellStyle name="_informatieprofiel trend en kosten _Preclosing 2" xfId="1984"/>
    <cellStyle name="_informatieprofiel trend en kosten _Preclosing jan11" xfId="1985"/>
    <cellStyle name="_informatieprofiel trend en kosten _Preclosing_1" xfId="1986"/>
    <cellStyle name="_informatieprofiel trend en kosten _Preclosing_2" xfId="1987"/>
    <cellStyle name="_informatieprofiel trend en kosten _Preclosing_3" xfId="1988"/>
    <cellStyle name="_informatieprofiel trend en kosten _Preclosing_FC categoraal" xfId="1989"/>
    <cellStyle name="_informatieprofiel trend en kosten _Sheet1" xfId="1990"/>
    <cellStyle name="_informatieprofiel trend en kosten _Sheet1_1" xfId="1991"/>
    <cellStyle name="_informatieprofiel trend en kosten _Sheet1_1 2" xfId="1992"/>
    <cellStyle name="_informatieprofiel trend en kosten _Sheet1_1_FC categoraal" xfId="1993"/>
    <cellStyle name="_informatieprofiel trend en kosten _Sheet1_2" xfId="1994"/>
    <cellStyle name="_informatieprofiel trend en kosten _Sheet1_2 2" xfId="1995"/>
    <cellStyle name="_informatieprofiel trend en kosten _Sheet2" xfId="1996"/>
    <cellStyle name="_informatieprofielen PMG sept 2004" xfId="1997"/>
    <cellStyle name="_informatieprofielen PMG sept 2004 2" xfId="1998"/>
    <cellStyle name="_informatieprofielen PMG sept 2004 2 2" xfId="4911"/>
    <cellStyle name="_informatieprofielen PMG sept 2004 3" xfId="4912"/>
    <cellStyle name="_informatieprofielen PMG sept 2004 3 2" xfId="4913"/>
    <cellStyle name="_informatieprofielen PMG sept 2004 4" xfId="4914"/>
    <cellStyle name="_informatieprofielen PMG sept 2004 5" xfId="4915"/>
    <cellStyle name="_informatieprofielen PMG sept 2004_FC categoraal" xfId="1999"/>
    <cellStyle name="_informatieprofielen PMG sept 2004_GDC nieuwe pfc cc jan  2011 v4" xfId="2000"/>
    <cellStyle name="_informatieprofielen PMG sept 2004_JP2011" xfId="2001"/>
    <cellStyle name="_informatieprofielen PMG sept 2004_JP2011 2" xfId="2002"/>
    <cellStyle name="_informatieprofielen PMG sept 2004_JP2011_1" xfId="2003"/>
    <cellStyle name="_informatieprofielen PMG sept 2004_Pivot" xfId="4916"/>
    <cellStyle name="_informatieprofielen PMG sept 2004_PPT Link" xfId="4917"/>
    <cellStyle name="_informatieprofielen PMG sept 2004_Preclosing" xfId="2004"/>
    <cellStyle name="_informatieprofielen PMG sept 2004_Preclosing 2" xfId="2005"/>
    <cellStyle name="_informatieprofielen PMG sept 2004_Preclosing jan11" xfId="2006"/>
    <cellStyle name="_informatieprofielen PMG sept 2004_Preclosing_1" xfId="2007"/>
    <cellStyle name="_informatieprofielen PMG sept 2004_Preclosing_2" xfId="2008"/>
    <cellStyle name="_informatieprofielen PMG sept 2004_Preclosing_3" xfId="2009"/>
    <cellStyle name="_informatieprofielen PMG sept 2004_Preclosing_FC categoraal" xfId="2010"/>
    <cellStyle name="_informatieprofielen PMG sept 2004_Sheet1" xfId="2011"/>
    <cellStyle name="_informatieprofielen PMG sept 2004_Sheet1_1" xfId="2012"/>
    <cellStyle name="_informatieprofielen PMG sept 2004_Sheet1_1 2" xfId="2013"/>
    <cellStyle name="_informatieprofielen PMG sept 2004_Sheet1_1_FC categoraal" xfId="2014"/>
    <cellStyle name="_informatieprofielen PMG sept 2004_Sheet1_2" xfId="2015"/>
    <cellStyle name="_informatieprofielen PMG sept 2004_Sheet1_2 2" xfId="2016"/>
    <cellStyle name="_informatieprofielen PMG sept 2004_Sheet2" xfId="2017"/>
    <cellStyle name="_informatieprofielen Q3-2004" xfId="2018"/>
    <cellStyle name="_informatieprofielen Q3-2004 2" xfId="2019"/>
    <cellStyle name="_informatieprofielen Q3-2004 2 2" xfId="4918"/>
    <cellStyle name="_informatieprofielen Q3-2004 3" xfId="4919"/>
    <cellStyle name="_informatieprofielen Q3-2004 3 2" xfId="4920"/>
    <cellStyle name="_informatieprofielen Q3-2004 4" xfId="4921"/>
    <cellStyle name="_informatieprofielen Q3-2004 5" xfId="4922"/>
    <cellStyle name="_informatieprofielen Q3-2004_FC categoraal" xfId="2020"/>
    <cellStyle name="_informatieprofielen Q3-2004_GDC nieuwe pfc cc jan  2011 v4" xfId="2021"/>
    <cellStyle name="_informatieprofielen Q3-2004_JP2011" xfId="2022"/>
    <cellStyle name="_informatieprofielen Q3-2004_JP2011 2" xfId="2023"/>
    <cellStyle name="_informatieprofielen Q3-2004_JP2011_1" xfId="2024"/>
    <cellStyle name="_informatieprofielen Q3-2004_Pivot" xfId="4923"/>
    <cellStyle name="_informatieprofielen Q3-2004_PPT Link" xfId="4924"/>
    <cellStyle name="_informatieprofielen Q3-2004_Preclosing" xfId="2025"/>
    <cellStyle name="_informatieprofielen Q3-2004_Preclosing 2" xfId="2026"/>
    <cellStyle name="_informatieprofielen Q3-2004_Preclosing jan11" xfId="2027"/>
    <cellStyle name="_informatieprofielen Q3-2004_Preclosing_1" xfId="2028"/>
    <cellStyle name="_informatieprofielen Q3-2004_Preclosing_2" xfId="2029"/>
    <cellStyle name="_informatieprofielen Q3-2004_Preclosing_3" xfId="2030"/>
    <cellStyle name="_informatieprofielen Q3-2004_Preclosing_FC categoraal" xfId="2031"/>
    <cellStyle name="_informatieprofielen Q3-2004_Sheet1" xfId="2032"/>
    <cellStyle name="_informatieprofielen Q3-2004_Sheet1_1" xfId="2033"/>
    <cellStyle name="_informatieprofielen Q3-2004_Sheet1_1 2" xfId="2034"/>
    <cellStyle name="_informatieprofielen Q3-2004_Sheet1_1_FC categoraal" xfId="2035"/>
    <cellStyle name="_informatieprofielen Q3-2004_Sheet1_2" xfId="2036"/>
    <cellStyle name="_informatieprofielen Q3-2004_Sheet1_2 2" xfId="2037"/>
    <cellStyle name="_informatieprofielen Q3-2004_Sheet2" xfId="2038"/>
    <cellStyle name="_informatieprofielen vast nieuwe layout" xfId="2039"/>
    <cellStyle name="_informatieprofielen vast nieuwe layout 2" xfId="2040"/>
    <cellStyle name="_informatieprofielen vast nieuwe layout 2 2" xfId="4925"/>
    <cellStyle name="_informatieprofielen vast nieuwe layout 3" xfId="4926"/>
    <cellStyle name="_informatieprofielen vast nieuwe layout 3 2" xfId="4927"/>
    <cellStyle name="_informatieprofielen vast nieuwe layout 4" xfId="4928"/>
    <cellStyle name="_informatieprofielen vast nieuwe layout 5" xfId="4929"/>
    <cellStyle name="_informatieprofielen vast nieuwe layout Bu BB" xfId="2041"/>
    <cellStyle name="_informatieprofielen vast nieuwe layout Bu BB 2" xfId="2042"/>
    <cellStyle name="_informatieprofielen vast nieuwe layout Bu BB 2 2" xfId="4930"/>
    <cellStyle name="_informatieprofielen vast nieuwe layout Bu BB 3" xfId="4931"/>
    <cellStyle name="_informatieprofielen vast nieuwe layout Bu BB 3 2" xfId="4932"/>
    <cellStyle name="_informatieprofielen vast nieuwe layout Bu BB 4" xfId="4933"/>
    <cellStyle name="_informatieprofielen vast nieuwe layout Bu BB 5" xfId="4934"/>
    <cellStyle name="_informatieprofielen vast nieuwe layout Bu BB_FC categoraal" xfId="2043"/>
    <cellStyle name="_informatieprofielen vast nieuwe layout Bu BB_GDC nieuwe pfc cc jan  2011 v4" xfId="2044"/>
    <cellStyle name="_informatieprofielen vast nieuwe layout Bu BB_JP2011" xfId="2045"/>
    <cellStyle name="_informatieprofielen vast nieuwe layout Bu BB_JP2011 2" xfId="2046"/>
    <cellStyle name="_informatieprofielen vast nieuwe layout Bu BB_JP2011_1" xfId="2047"/>
    <cellStyle name="_informatieprofielen vast nieuwe layout Bu BB_Pivot" xfId="4935"/>
    <cellStyle name="_informatieprofielen vast nieuwe layout Bu BB_PPT Link" xfId="4936"/>
    <cellStyle name="_informatieprofielen vast nieuwe layout Bu BB_Preclosing" xfId="2048"/>
    <cellStyle name="_informatieprofielen vast nieuwe layout Bu BB_Preclosing 2" xfId="2049"/>
    <cellStyle name="_informatieprofielen vast nieuwe layout Bu BB_Preclosing jan11" xfId="2050"/>
    <cellStyle name="_informatieprofielen vast nieuwe layout Bu BB_Preclosing_1" xfId="2051"/>
    <cellStyle name="_informatieprofielen vast nieuwe layout Bu BB_Preclosing_2" xfId="2052"/>
    <cellStyle name="_informatieprofielen vast nieuwe layout Bu BB_Preclosing_3" xfId="2053"/>
    <cellStyle name="_informatieprofielen vast nieuwe layout Bu BB_Preclosing_FC categoraal" xfId="2054"/>
    <cellStyle name="_informatieprofielen vast nieuwe layout Bu BB_Sheet1" xfId="2055"/>
    <cellStyle name="_informatieprofielen vast nieuwe layout Bu BB_Sheet1_1" xfId="2056"/>
    <cellStyle name="_informatieprofielen vast nieuwe layout Bu BB_Sheet1_1 2" xfId="2057"/>
    <cellStyle name="_informatieprofielen vast nieuwe layout Bu BB_Sheet1_1_FC categoraal" xfId="2058"/>
    <cellStyle name="_informatieprofielen vast nieuwe layout Bu BB_Sheet1_2" xfId="2059"/>
    <cellStyle name="_informatieprofielen vast nieuwe layout Bu BB_Sheet1_2 2" xfId="2060"/>
    <cellStyle name="_informatieprofielen vast nieuwe layout Bu BB_Sheet2" xfId="2061"/>
    <cellStyle name="_informatieprofielen vast nieuwe layout_FC categoraal" xfId="2062"/>
    <cellStyle name="_informatieprofielen vast nieuwe layout_GDC nieuwe pfc cc jan  2011 v4" xfId="2063"/>
    <cellStyle name="_informatieprofielen vast nieuwe layout_JP2011" xfId="2064"/>
    <cellStyle name="_informatieprofielen vast nieuwe layout_JP2011 2" xfId="2065"/>
    <cellStyle name="_informatieprofielen vast nieuwe layout_JP2011_1" xfId="2066"/>
    <cellStyle name="_informatieprofielen vast nieuwe layout_Pivot" xfId="4937"/>
    <cellStyle name="_informatieprofielen vast nieuwe layout_PPT Link" xfId="4938"/>
    <cellStyle name="_informatieprofielen vast nieuwe layout_Preclosing" xfId="2067"/>
    <cellStyle name="_informatieprofielen vast nieuwe layout_Preclosing 2" xfId="2068"/>
    <cellStyle name="_informatieprofielen vast nieuwe layout_Preclosing jan11" xfId="2069"/>
    <cellStyle name="_informatieprofielen vast nieuwe layout_Preclosing_1" xfId="2070"/>
    <cellStyle name="_informatieprofielen vast nieuwe layout_Preclosing_2" xfId="2071"/>
    <cellStyle name="_informatieprofielen vast nieuwe layout_Preclosing_3" xfId="2072"/>
    <cellStyle name="_informatieprofielen vast nieuwe layout_Preclosing_FC categoraal" xfId="2073"/>
    <cellStyle name="_informatieprofielen vast nieuwe layout_Sheet1" xfId="2074"/>
    <cellStyle name="_informatieprofielen vast nieuwe layout_Sheet1_1" xfId="2075"/>
    <cellStyle name="_informatieprofielen vast nieuwe layout_Sheet1_1 2" xfId="2076"/>
    <cellStyle name="_informatieprofielen vast nieuwe layout_Sheet1_1_FC categoraal" xfId="2077"/>
    <cellStyle name="_informatieprofielen vast nieuwe layout_Sheet1_2" xfId="2078"/>
    <cellStyle name="_informatieprofielen vast nieuwe layout_Sheet1_2 2" xfId="2079"/>
    <cellStyle name="_informatieprofielen vast nieuwe layout_Sheet2" xfId="2080"/>
    <cellStyle name="_INNOSPEC - 08 (Forecast)v2" xfId="2081"/>
    <cellStyle name="_input driver model BI" xfId="4939"/>
    <cellStyle name="_input dsl maand" xfId="4940"/>
    <cellStyle name="_input dsl maand 2" xfId="4941"/>
    <cellStyle name="_input dsl maand 2 2" xfId="4942"/>
    <cellStyle name="_input dsl maand 3" xfId="4943"/>
    <cellStyle name="_input dsl maand 3 2" xfId="4944"/>
    <cellStyle name="_input dsl maand 4" xfId="4945"/>
    <cellStyle name="_input dsl maand 5" xfId="4946"/>
    <cellStyle name="_input dsl-week " xfId="4947"/>
    <cellStyle name="_input dsl-week  2" xfId="4948"/>
    <cellStyle name="_input dsl-week  2 2" xfId="4949"/>
    <cellStyle name="_input dsl-week  3" xfId="4950"/>
    <cellStyle name="_input dsl-week  3 2" xfId="4951"/>
    <cellStyle name="_input dsl-week  4" xfId="4952"/>
    <cellStyle name="_input dsl-week  5" xfId="4953"/>
    <cellStyle name="_Input IK 02-06-2006 II (2)" xfId="264"/>
    <cellStyle name="_Input IK 02-06-2006 II (2) 2" xfId="265"/>
    <cellStyle name="_Input IK 02-06-2006 II (2) 3" xfId="2082"/>
    <cellStyle name="_Input IK 02-06-2006 II (2)_ND5 squeeze model  whs-whs v2.21 DWDM ILL" xfId="2083"/>
    <cellStyle name="_INPUT ILL JP 2005 ILL_v1" xfId="266"/>
    <cellStyle name="_INPUT ILL JP 2005 ILL_v1_LPM PL 20101014 Concept" xfId="2084"/>
    <cellStyle name="_INPUT ILL JP 2005 ILL_v1_LPM PL 20101028 obv LRIC inkoop" xfId="2085"/>
    <cellStyle name="_INPUT ILL JP 2005 ILL_v1_ND5 squeeze model  whs-whs v2.21 DWDM ILL" xfId="2086"/>
    <cellStyle name="_Input omzet ACTIEF JP 2005" xfId="267"/>
    <cellStyle name="_Input omzet ACTIEF JP 2005 2" xfId="268"/>
    <cellStyle name="_Input omzet ACTIEF JP 2005 3" xfId="2087"/>
    <cellStyle name="_Input omzet ACTIEF JP 2005 versie 2" xfId="269"/>
    <cellStyle name="_Input omzet ACTIEF JP 2005 versie 2 2" xfId="270"/>
    <cellStyle name="_Input omzet ACTIEF JP 2005 versie 2 3" xfId="2088"/>
    <cellStyle name="_Input omzet ACTIEF JP 2005 versie 2_ND5 squeeze model  whs-whs v2.21 DWDM ILL" xfId="2089"/>
    <cellStyle name="_Input omzet ACTIEF JP 2005_ND5 squeeze model  whs-whs v2.21 DWDM ILL" xfId="2090"/>
    <cellStyle name="_InputDefinitions" xfId="4954"/>
    <cellStyle name="_Interne verrekening SLA2007 WO BO LEV BS - ZM NS CS versie 05-2007" xfId="271"/>
    <cellStyle name="_Interne verrekening SLA2007 WO BO LEV BS - ZM NS CS versie 05-2007 (2)" xfId="272"/>
    <cellStyle name="_Invul 1" xfId="2091"/>
    <cellStyle name="_IP TV 2006 v15 baseplan 3 incl jev 10 000" xfId="2092"/>
    <cellStyle name="_IP-Edge BP 2008-2011 v0.6" xfId="273"/>
    <cellStyle name="_IS Bridge actualv v Budget Feb08" xfId="2093"/>
    <cellStyle name="_IS intercompanies from GR BP 2008-2010 invoersheet RE004 Voice Services Joost" xfId="2094"/>
    <cellStyle name="_IS intercompanies from GR BP 2008-2010 invoersheet RE004 Voice Services Joost 2" xfId="2095"/>
    <cellStyle name="_IS intercompanies from GR BP 2008-2010 invoersheet RE004 Voice Services Joost 2 2" xfId="4955"/>
    <cellStyle name="_IS intercompanies from GR BP 2008-2010 invoersheet RE004 Voice Services Joost 3" xfId="4956"/>
    <cellStyle name="_IS intercompanies from GR BP 2008-2010 invoersheet RE004 Voice Services Joost 3 2" xfId="4957"/>
    <cellStyle name="_IS intercompanies from GR BP 2008-2010 invoersheet RE004 Voice Services Joost 4" xfId="4958"/>
    <cellStyle name="_IS intercompanies from GR BP 2008-2010 invoersheet RE004 Voice Services Joost 5" xfId="4959"/>
    <cellStyle name="_IS intercompanies from GR BP 2008-2010 invoersheet RE004 Voice Services Joost_Blad2" xfId="2096"/>
    <cellStyle name="_IS intercompanies from GR BP 2008-2010 invoersheet RE004 Voice Services Joost_Blad2 2" xfId="2097"/>
    <cellStyle name="_IS intercompanies from GR BP 2008-2010 invoersheet RE004 Voice Services Joost_Blad2_JP2011" xfId="2098"/>
    <cellStyle name="_IS intercompanies from GR BP 2008-2010 invoersheet RE004 Voice Services Joost_JP2011" xfId="2099"/>
    <cellStyle name="_IS intercompanies from GR BP 2008-2010 invoersheet RE004 Voice Services Joost_Model Plan 2012" xfId="2100"/>
    <cellStyle name="_IS PLAN 2007 BU AMS V4" xfId="2101"/>
    <cellStyle name="_IS PLAN 2007 BU AMS V4_ICS plan 2010 origineel v9 10-09" xfId="2102"/>
    <cellStyle name="_IS PLAN 2007 BU AMS V4_JP2011" xfId="2103"/>
    <cellStyle name="_IS PLAN 2007 BU AMS V4_JP2011 2" xfId="2104"/>
    <cellStyle name="_IS PLAN 2007 BU AMS V4_Maand Capex" xfId="2105"/>
    <cellStyle name="_IS PLAN 2007 BU AMS V4_Maand Capex_JP2011" xfId="2106"/>
    <cellStyle name="_IS PLAN 2007 BU AMS V4_Maand Capex_JP2011 2" xfId="2107"/>
    <cellStyle name="_IS PLAN 2007 BU AMS V4_ML_Generic_1 1 input Capex incl maandplan_v2" xfId="2108"/>
    <cellStyle name="_IS PLAN 2007 BU AMS V4_ML_Generic_1 1 input Capex incl maandplan_v2 2" xfId="2109"/>
    <cellStyle name="_IS PLAN 2007 BU AMS V4_Model Plan 2012" xfId="2110"/>
    <cellStyle name="_IssuesBP2005-2008analoog" xfId="274"/>
    <cellStyle name="_ITN_CapexBudget_v1_1" xfId="4960"/>
    <cellStyle name="_ITN_CapexBudget_v1_1 2" xfId="4961"/>
    <cellStyle name="_ITN_CapexBudget_v1_1 2 2" xfId="4962"/>
    <cellStyle name="_ITN_CapexBudget_v1_1 3" xfId="4963"/>
    <cellStyle name="_ITN_CapexBudget_v1_1 3 2" xfId="4964"/>
    <cellStyle name="_ITN_CapexBudget_v1_1 4" xfId="4965"/>
    <cellStyle name="_ITN_CapexBudget_v1_1 5" xfId="4966"/>
    <cellStyle name="_Jaarplan 2003 nieuwe org. wvs 10022003" xfId="275"/>
    <cellStyle name="_Jaarplan 2003 nieuwe org. wvs 10022003 2" xfId="276"/>
    <cellStyle name="_Jaarplan 2003 nieuwe org. wvs 10022003 3" xfId="2111"/>
    <cellStyle name="_Jaarplan 2003 nieuwe org. wvs 10022003_ND5 squeeze model  whs-whs v2.21 DWDM ILL" xfId="2112"/>
    <cellStyle name="_Jaarplan BI 2009 dd 19feb09" xfId="4967"/>
    <cellStyle name="_Jaarplan BI 2009 dd 19feb09 2" xfId="4968"/>
    <cellStyle name="_Jaarplan BI 2009 dd 19feb09 2 2" xfId="4969"/>
    <cellStyle name="_Jaarplan BI 2009 dd 19feb09 3" xfId="4970"/>
    <cellStyle name="_Jaarplan BI 2009 dd 19feb09 3 2" xfId="4971"/>
    <cellStyle name="_Jaarplan BI 2009 dd 19feb09 4" xfId="4972"/>
    <cellStyle name="_Jaarplan BI 2009 dd 19feb09 5" xfId="4973"/>
    <cellStyle name="_Jaarplan BI 2009 dd 19feb09_110810_Overzicht_Orderintake" xfId="4974"/>
    <cellStyle name="_Jaarplan BI 2009 dd 19feb09_BenI" xfId="4975"/>
    <cellStyle name="_Jaarplan BI 2009 dd 19feb09_Fixed Data" xfId="4976"/>
    <cellStyle name="_Jaarplan BI 2009 dd 19feb09_SWOL" xfId="4977"/>
    <cellStyle name="_jaarplan zm 2005 versie 10 (schoon)" xfId="277"/>
    <cellStyle name="_jaarplan zm 2005 versie 10 (schoon) 2" xfId="278"/>
    <cellStyle name="_jaarplan zm 2005 versie 10 (schoon) 2 2" xfId="4978"/>
    <cellStyle name="_jaarplan zm 2005 versie 10 (schoon) 3" xfId="2113"/>
    <cellStyle name="_jaarplan zm 2005 versie 10 (schoon) 3 2" xfId="4979"/>
    <cellStyle name="_jaarplan zm 2005 versie 10 (schoon) 4" xfId="4980"/>
    <cellStyle name="_jaarplan zm 2005 versie 10 (schoon) 5" xfId="4981"/>
    <cellStyle name="_jaarplan zm 2005 versie 10 (schoon)_Blad2" xfId="2114"/>
    <cellStyle name="_jaarplan zm 2005 versie 10 (schoon)_Blad2 2" xfId="2115"/>
    <cellStyle name="_jaarplan zm 2005 versie 10 (schoon)_Blad2_JP2011" xfId="2116"/>
    <cellStyle name="_jaarplan zm 2005 versie 10 (schoon)_JP2011" xfId="2117"/>
    <cellStyle name="_jaarplan zm 2005 versie 10 (schoon)_Model Plan 2012" xfId="2118"/>
    <cellStyle name="_jaarplan zm 2005 versie 10 (schoon)_ND5 squeeze model  whs-whs v2.21 DWDM ILL" xfId="2119"/>
    <cellStyle name="_jaarplan zm 2005 versie 10 (schoon)_OIT data LE,SCM,INS,targets" xfId="4982"/>
    <cellStyle name="_JEV &amp; Plan 2011_B&amp;I_11102010_V3_update JEV_update BP2011_update IC BP2011 met kostenreal_december real_BP final" xfId="4983"/>
    <cellStyle name="_jev 2004 augustus" xfId="279"/>
    <cellStyle name="_jev 2004 augustus 2" xfId="2120"/>
    <cellStyle name="_JEV 2006-01v5" xfId="280"/>
    <cellStyle name="_JEV 2006-01v5 2" xfId="281"/>
    <cellStyle name="_JEV 2006-01v5 3" xfId="2121"/>
    <cellStyle name="_JEV 2006-01v5_ND5 squeeze model  whs-whs v2.21 DWDM ILL" xfId="2122"/>
    <cellStyle name="_JEV 2007 Q3 CO" xfId="2123"/>
    <cellStyle name="_JEV 2007 totaal Cybercenters" xfId="2124"/>
    <cellStyle name="_JEV apr07" xfId="2125"/>
    <cellStyle name="_JEV apr07 2" xfId="2126"/>
    <cellStyle name="_JEV april" xfId="282"/>
    <cellStyle name="_JEV april 2" xfId="283"/>
    <cellStyle name="_JEV april 2 2" xfId="4984"/>
    <cellStyle name="_JEV april 3" xfId="2127"/>
    <cellStyle name="_JEV april 3 2" xfId="4985"/>
    <cellStyle name="_JEV april 4" xfId="4986"/>
    <cellStyle name="_JEV april 5" xfId="4987"/>
    <cellStyle name="_JEV april_110810_Overzicht_Orderintake" xfId="4988"/>
    <cellStyle name="_JEV april_20080530 Consolidatie Businessplan v12" xfId="2128"/>
    <cellStyle name="_JEV april_20080530 Consolidatie Businessplan v12 2" xfId="2129"/>
    <cellStyle name="_JEV april_20080530 Consolidatie Businessplan v12 2 2" xfId="4989"/>
    <cellStyle name="_JEV april_20080530 Consolidatie Businessplan v12 3" xfId="4990"/>
    <cellStyle name="_JEV april_20080530 Consolidatie Businessplan v12 3 2" xfId="4991"/>
    <cellStyle name="_JEV april_20080530 Consolidatie Businessplan v12 4" xfId="4992"/>
    <cellStyle name="_JEV april_20080530 Consolidatie Businessplan v12 5" xfId="4993"/>
    <cellStyle name="_JEV april_20080530 Consolidatie Businessplan v12_Blad2" xfId="2130"/>
    <cellStyle name="_JEV april_20080530 Consolidatie Businessplan v12_Blad2 2" xfId="2131"/>
    <cellStyle name="_JEV april_20080530 Consolidatie Businessplan v12_Blad2_JP2011" xfId="2132"/>
    <cellStyle name="_JEV april_20080530 Consolidatie Businessplan v12_JP2011" xfId="2133"/>
    <cellStyle name="_JEV april_20080530 Consolidatie Businessplan v12_Model Plan 2012" xfId="2134"/>
    <cellStyle name="_JEV april_20080605 Consolidatie Businessplan v15" xfId="2135"/>
    <cellStyle name="_JEV april_20080605 Consolidatie Businessplan v15 2" xfId="2136"/>
    <cellStyle name="_JEV april_20080605 Consolidatie Businessplan v15 2 2" xfId="4994"/>
    <cellStyle name="_JEV april_20080605 Consolidatie Businessplan v15 3" xfId="4995"/>
    <cellStyle name="_JEV april_20080605 Consolidatie Businessplan v15 3 2" xfId="4996"/>
    <cellStyle name="_JEV april_20080605 Consolidatie Businessplan v15 4" xfId="4997"/>
    <cellStyle name="_JEV april_20080605 Consolidatie Businessplan v15 5" xfId="4998"/>
    <cellStyle name="_JEV april_20080605 Consolidatie Businessplan v15_Blad2" xfId="2137"/>
    <cellStyle name="_JEV april_20080605 Consolidatie Businessplan v15_Blad2 2" xfId="2138"/>
    <cellStyle name="_JEV april_20080605 Consolidatie Businessplan v15_Blad2_JP2011" xfId="2139"/>
    <cellStyle name="_JEV april_20080605 Consolidatie Businessplan v15_JP2011" xfId="2140"/>
    <cellStyle name="_JEV april_20080605 Consolidatie Businessplan v15_Model Plan 2012" xfId="2141"/>
    <cellStyle name="_JEV april_20080605 Consolidatie Businessplan v19" xfId="2142"/>
    <cellStyle name="_JEV april_20080605 Consolidatie Businessplan v19 2" xfId="2143"/>
    <cellStyle name="_JEV april_20080605 Consolidatie Businessplan v19 2 2" xfId="4999"/>
    <cellStyle name="_JEV april_20080605 Consolidatie Businessplan v19 3" xfId="5000"/>
    <cellStyle name="_JEV april_20080605 Consolidatie Businessplan v19 3 2" xfId="5001"/>
    <cellStyle name="_JEV april_20080605 Consolidatie Businessplan v19 4" xfId="5002"/>
    <cellStyle name="_JEV april_20080605 Consolidatie Businessplan v19 5" xfId="5003"/>
    <cellStyle name="_JEV april_20080605 Consolidatie Businessplan v19_Blad2" xfId="2144"/>
    <cellStyle name="_JEV april_20080605 Consolidatie Businessplan v19_Blad2 2" xfId="2145"/>
    <cellStyle name="_JEV april_20080605 Consolidatie Businessplan v19_Blad2_JP2011" xfId="2146"/>
    <cellStyle name="_JEV april_20080605 Consolidatie Businessplan v19_JP2011" xfId="2147"/>
    <cellStyle name="_JEV april_20080605 Consolidatie Businessplan v19_Model Plan 2012" xfId="2148"/>
    <cellStyle name="_JEV april_BenI" xfId="5004"/>
    <cellStyle name="_JEV april_Blad2" xfId="2149"/>
    <cellStyle name="_JEV april_Blad2 2" xfId="2150"/>
    <cellStyle name="_JEV april_Blad2_JP2011" xfId="2151"/>
    <cellStyle name="_JEV april_Fixed Data" xfId="5005"/>
    <cellStyle name="_JEV april_JP2011" xfId="2152"/>
    <cellStyle name="_JEV april_Model Plan 2012" xfId="2153"/>
    <cellStyle name="_JEV april_ND5 squeeze model  whs-whs v2.21 DWDM ILL" xfId="2154"/>
    <cellStyle name="_JEV april_OIT data LE,SCM,INS,targets" xfId="5006"/>
    <cellStyle name="_JEV april_SWOL" xfId="5007"/>
    <cellStyle name="_JEV CM tbv Businessplan 2004" xfId="284"/>
    <cellStyle name="_JEV CM tbv Businessplan 2004 2" xfId="285"/>
    <cellStyle name="_JEV CM tbv Businessplan 2004 3" xfId="2155"/>
    <cellStyle name="_JEV CM tbv Businessplan 2004_ND5 squeeze model  whs-whs v2.21 DWDM ILL" xfId="2156"/>
    <cellStyle name="_JEV CM_Van ITNL lijst naar CM lijsten_6 sept" xfId="5008"/>
    <cellStyle name="_JEV CM_Van ITNL lijst naar CM lijsten_6 sept 2" xfId="5009"/>
    <cellStyle name="_JEV CM_Van ITNL lijst naar CM lijsten_6 sept 2 2" xfId="5010"/>
    <cellStyle name="_JEV CM_Van ITNL lijst naar CM lijsten_6 sept 3" xfId="5011"/>
    <cellStyle name="_JEV CM_Van ITNL lijst naar CM lijsten_6 sept 3 2" xfId="5012"/>
    <cellStyle name="_JEV CM_Van ITNL lijst naar CM lijsten_6 sept 4" xfId="5013"/>
    <cellStyle name="_JEV CM_Van ITNL lijst naar CM lijsten_6 sept 5" xfId="5014"/>
    <cellStyle name="_JEV model 2005  versie 3" xfId="286"/>
    <cellStyle name="_JEV model 2005  versie 3 2" xfId="287"/>
    <cellStyle name="_JEV model 2005  versie 3 2 2" xfId="5015"/>
    <cellStyle name="_JEV model 2005  versie 3 3" xfId="2157"/>
    <cellStyle name="_JEV model 2005  versie 3 3 2" xfId="5016"/>
    <cellStyle name="_JEV model 2005  versie 3 4" xfId="5017"/>
    <cellStyle name="_JEV model 2005  versie 3 5" xfId="5018"/>
    <cellStyle name="_JEV model 2005  versie 3_Blad2" xfId="2158"/>
    <cellStyle name="_JEV model 2005  versie 3_Blad2 2" xfId="2159"/>
    <cellStyle name="_JEV model 2005  versie 3_Blad2_JP2011" xfId="2160"/>
    <cellStyle name="_JEV model 2005  versie 3_JP2011" xfId="2161"/>
    <cellStyle name="_JEV model 2005  versie 3_Model Plan 2012" xfId="2162"/>
    <cellStyle name="_JEV model 2005  versie 3_ND5 squeeze model  whs-whs v2.21 DWDM ILL" xfId="2163"/>
    <cellStyle name="_JEV model 2005  versie 3_OIT data LE,SCM,INS,targets" xfId="5019"/>
    <cellStyle name="_JEV Nov Portfoliomanagement versie 0.5" xfId="288"/>
    <cellStyle name="_JEV Nov Portfoliomanagement versie 0.5 2" xfId="289"/>
    <cellStyle name="_JEV Nov Portfoliomanagement versie 0.5 2 2" xfId="5020"/>
    <cellStyle name="_JEV Nov Portfoliomanagement versie 0.5 3" xfId="2164"/>
    <cellStyle name="_JEV Nov Portfoliomanagement versie 0.5 3 2" xfId="5021"/>
    <cellStyle name="_JEV Nov Portfoliomanagement versie 0.5 4" xfId="5022"/>
    <cellStyle name="_JEV Nov Portfoliomanagement versie 0.5 5" xfId="5023"/>
    <cellStyle name="_JEV Nov Portfoliomanagement versie 0.5_110810_Overzicht_Orderintake" xfId="5024"/>
    <cellStyle name="_JEV Nov Portfoliomanagement versie 0.5_20080530 Consolidatie Businessplan v12" xfId="2165"/>
    <cellStyle name="_JEV Nov Portfoliomanagement versie 0.5_20080530 Consolidatie Businessplan v12 2" xfId="2166"/>
    <cellStyle name="_JEV Nov Portfoliomanagement versie 0.5_20080530 Consolidatie Businessplan v12 2 2" xfId="5025"/>
    <cellStyle name="_JEV Nov Portfoliomanagement versie 0.5_20080530 Consolidatie Businessplan v12 3" xfId="5026"/>
    <cellStyle name="_JEV Nov Portfoliomanagement versie 0.5_20080530 Consolidatie Businessplan v12 3 2" xfId="5027"/>
    <cellStyle name="_JEV Nov Portfoliomanagement versie 0.5_20080530 Consolidatie Businessplan v12 4" xfId="5028"/>
    <cellStyle name="_JEV Nov Portfoliomanagement versie 0.5_20080530 Consolidatie Businessplan v12 5" xfId="5029"/>
    <cellStyle name="_JEV Nov Portfoliomanagement versie 0.5_20080530 Consolidatie Businessplan v12_Blad2" xfId="2167"/>
    <cellStyle name="_JEV Nov Portfoliomanagement versie 0.5_20080530 Consolidatie Businessplan v12_Blad2 2" xfId="2168"/>
    <cellStyle name="_JEV Nov Portfoliomanagement versie 0.5_20080530 Consolidatie Businessplan v12_Blad2_JP2011" xfId="2169"/>
    <cellStyle name="_JEV Nov Portfoliomanagement versie 0.5_20080530 Consolidatie Businessplan v12_JP2011" xfId="2170"/>
    <cellStyle name="_JEV Nov Portfoliomanagement versie 0.5_20080530 Consolidatie Businessplan v12_Model Plan 2012" xfId="2171"/>
    <cellStyle name="_JEV Nov Portfoliomanagement versie 0.5_20080605 Consolidatie Businessplan v15" xfId="2172"/>
    <cellStyle name="_JEV Nov Portfoliomanagement versie 0.5_20080605 Consolidatie Businessplan v15 2" xfId="2173"/>
    <cellStyle name="_JEV Nov Portfoliomanagement versie 0.5_20080605 Consolidatie Businessplan v15 2 2" xfId="5030"/>
    <cellStyle name="_JEV Nov Portfoliomanagement versie 0.5_20080605 Consolidatie Businessplan v15 3" xfId="5031"/>
    <cellStyle name="_JEV Nov Portfoliomanagement versie 0.5_20080605 Consolidatie Businessplan v15 3 2" xfId="5032"/>
    <cellStyle name="_JEV Nov Portfoliomanagement versie 0.5_20080605 Consolidatie Businessplan v15 4" xfId="5033"/>
    <cellStyle name="_JEV Nov Portfoliomanagement versie 0.5_20080605 Consolidatie Businessplan v15 5" xfId="5034"/>
    <cellStyle name="_JEV Nov Portfoliomanagement versie 0.5_20080605 Consolidatie Businessplan v15_Blad2" xfId="2174"/>
    <cellStyle name="_JEV Nov Portfoliomanagement versie 0.5_20080605 Consolidatie Businessplan v15_Blad2 2" xfId="2175"/>
    <cellStyle name="_JEV Nov Portfoliomanagement versie 0.5_20080605 Consolidatie Businessplan v15_Blad2_JP2011" xfId="2176"/>
    <cellStyle name="_JEV Nov Portfoliomanagement versie 0.5_20080605 Consolidatie Businessplan v15_JP2011" xfId="2177"/>
    <cellStyle name="_JEV Nov Portfoliomanagement versie 0.5_20080605 Consolidatie Businessplan v15_Model Plan 2012" xfId="2178"/>
    <cellStyle name="_JEV Nov Portfoliomanagement versie 0.5_20080605 Consolidatie Businessplan v19" xfId="2179"/>
    <cellStyle name="_JEV Nov Portfoliomanagement versie 0.5_20080605 Consolidatie Businessplan v19 2" xfId="2180"/>
    <cellStyle name="_JEV Nov Portfoliomanagement versie 0.5_20080605 Consolidatie Businessplan v19 2 2" xfId="5035"/>
    <cellStyle name="_JEV Nov Portfoliomanagement versie 0.5_20080605 Consolidatie Businessplan v19 3" xfId="5036"/>
    <cellStyle name="_JEV Nov Portfoliomanagement versie 0.5_20080605 Consolidatie Businessplan v19 3 2" xfId="5037"/>
    <cellStyle name="_JEV Nov Portfoliomanagement versie 0.5_20080605 Consolidatie Businessplan v19 4" xfId="5038"/>
    <cellStyle name="_JEV Nov Portfoliomanagement versie 0.5_20080605 Consolidatie Businessplan v19 5" xfId="5039"/>
    <cellStyle name="_JEV Nov Portfoliomanagement versie 0.5_20080605 Consolidatie Businessplan v19_Blad2" xfId="2181"/>
    <cellStyle name="_JEV Nov Portfoliomanagement versie 0.5_20080605 Consolidatie Businessplan v19_Blad2 2" xfId="2182"/>
    <cellStyle name="_JEV Nov Portfoliomanagement versie 0.5_20080605 Consolidatie Businessplan v19_Blad2_JP2011" xfId="2183"/>
    <cellStyle name="_JEV Nov Portfoliomanagement versie 0.5_20080605 Consolidatie Businessplan v19_JP2011" xfId="2184"/>
    <cellStyle name="_JEV Nov Portfoliomanagement versie 0.5_20080605 Consolidatie Businessplan v19_Model Plan 2012" xfId="2185"/>
    <cellStyle name="_JEV Nov Portfoliomanagement versie 0.5_BenI" xfId="5040"/>
    <cellStyle name="_JEV Nov Portfoliomanagement versie 0.5_Blad2" xfId="2186"/>
    <cellStyle name="_JEV Nov Portfoliomanagement versie 0.5_Blad2 2" xfId="2187"/>
    <cellStyle name="_JEV Nov Portfoliomanagement versie 0.5_Blad2_JP2011" xfId="2188"/>
    <cellStyle name="_JEV Nov Portfoliomanagement versie 0.5_Fixed Data" xfId="5041"/>
    <cellStyle name="_JEV Nov Portfoliomanagement versie 0.5_JP2011" xfId="2189"/>
    <cellStyle name="_JEV Nov Portfoliomanagement versie 0.5_Model Plan 2012" xfId="2190"/>
    <cellStyle name="_JEV Nov Portfoliomanagement versie 0.5_ND5 squeeze model  whs-whs v2.21 DWDM ILL" xfId="2191"/>
    <cellStyle name="_JEV Nov Portfoliomanagement versie 0.5_SWOL" xfId="5042"/>
    <cellStyle name="_JEV projecten CM Q3 2007" xfId="5043"/>
    <cellStyle name="_JEV projecten CM Q3 2007 2" xfId="5044"/>
    <cellStyle name="_JEV projecten CM Q3 2007 2 2" xfId="5045"/>
    <cellStyle name="_JEV projecten CM Q3 2007 3" xfId="5046"/>
    <cellStyle name="_JEV projecten CM Q3 2007 3 2" xfId="5047"/>
    <cellStyle name="_JEV projecten CM Q3 2007 4" xfId="5048"/>
    <cellStyle name="_JEV projecten CM Q3 2007 5" xfId="5049"/>
    <cellStyle name="_JEV SACSRC_extrapolatie aug cijfers" xfId="2192"/>
    <cellStyle name="_JEV SACSRC_extrapolatie aug cijfers 2" xfId="2193"/>
    <cellStyle name="_JEV SACSRC_extrapolatie aug cijfers 2 2" xfId="5050"/>
    <cellStyle name="_JEV SACSRC_extrapolatie aug cijfers 3" xfId="5051"/>
    <cellStyle name="_JEV SACSRC_extrapolatie aug cijfers 3 2" xfId="5052"/>
    <cellStyle name="_JEV SACSRC_extrapolatie aug cijfers 4" xfId="5053"/>
    <cellStyle name="_JEV SACSRC_extrapolatie aug cijfers 5" xfId="5054"/>
    <cellStyle name="_JEV SACSRC_extrapolatie aug cijfers_Blad2" xfId="2194"/>
    <cellStyle name="_JEV SACSRC_extrapolatie aug cijfers_Blad2 2" xfId="2195"/>
    <cellStyle name="_JEV SACSRC_extrapolatie aug cijfers_Blad2_JP2011" xfId="2196"/>
    <cellStyle name="_JEV SACSRC_extrapolatie aug cijfers_JP2011" xfId="2197"/>
    <cellStyle name="_JEV SACSRC_extrapolatie aug cijfers_Model Plan 2012" xfId="2198"/>
    <cellStyle name="_JEV W&amp;O opgave" xfId="5055"/>
    <cellStyle name="_JEV W&amp;O opgave 2" xfId="5056"/>
    <cellStyle name="_JEV W&amp;O opgave 2 2" xfId="5057"/>
    <cellStyle name="_JEV W&amp;O opgave 3" xfId="5058"/>
    <cellStyle name="_JEV W&amp;O opgave 3 2" xfId="5059"/>
    <cellStyle name="_JEV W&amp;O opgave 4" xfId="5060"/>
    <cellStyle name="_JEV W&amp;O opgave 5" xfId="5061"/>
    <cellStyle name="_JEV2007-BP2008-2010 ambitie 19 sept bottom up" xfId="2199"/>
    <cellStyle name="_JEV2007-BP2008-2010 ambitie 19 sept bottom up 2" xfId="2200"/>
    <cellStyle name="_JEV2007-BP2008-2010 ambitie 19 sept bottom up 2 2" xfId="5062"/>
    <cellStyle name="_JEV2007-BP2008-2010 ambitie 19 sept bottom up 3" xfId="5063"/>
    <cellStyle name="_JEV2007-BP2008-2010 ambitie 19 sept bottom up 3 2" xfId="5064"/>
    <cellStyle name="_JEV2007-BP2008-2010 ambitie 19 sept bottom up 4" xfId="5065"/>
    <cellStyle name="_JEV2007-BP2008-2010 ambitie 19 sept bottom up 5" xfId="5066"/>
    <cellStyle name="_JEV2007-BP2008-2010 ambitie 19 sept bottom up_Blad2" xfId="2201"/>
    <cellStyle name="_JEV2007-BP2008-2010 ambitie 19 sept bottom up_Blad2 2" xfId="2202"/>
    <cellStyle name="_JEV2007-BP2008-2010 ambitie 19 sept bottom up_Blad2_JP2011" xfId="2203"/>
    <cellStyle name="_JEV2007-BP2008-2010 ambitie 19 sept bottom up_JP2011" xfId="2204"/>
    <cellStyle name="_JEV2007-BP2008-2010 ambitie 19 sept bottom up_Model Plan 2012" xfId="2205"/>
    <cellStyle name="_JEV-uitvraag Voice ZM feb06" xfId="290"/>
    <cellStyle name="_JEV-uitvraag Voice ZM feb06 2" xfId="291"/>
    <cellStyle name="_JEV-uitvraag Voice ZM feb06 2 2" xfId="5067"/>
    <cellStyle name="_JEV-uitvraag Voice ZM feb06 3" xfId="2206"/>
    <cellStyle name="_JEV-uitvraag Voice ZM feb06 3 2" xfId="5068"/>
    <cellStyle name="_JEV-uitvraag Voice ZM feb06 4" xfId="5069"/>
    <cellStyle name="_JEV-uitvraag Voice ZM feb06 5" xfId="5070"/>
    <cellStyle name="_JEV-uitvraag Voice ZM feb06_Blad2" xfId="2207"/>
    <cellStyle name="_JEV-uitvraag Voice ZM feb06_Blad2 2" xfId="2208"/>
    <cellStyle name="_JEV-uitvraag Voice ZM feb06_Blad2_JP2011" xfId="2209"/>
    <cellStyle name="_JEV-uitvraag Voice ZM feb06_JP2011" xfId="2210"/>
    <cellStyle name="_JEV-uitvraag Voice ZM feb06_Model Plan 2012" xfId="2211"/>
    <cellStyle name="_JEV-uitvraag Voice ZM feb06_ND5 squeeze model  whs-whs v2.21 DWDM ILL" xfId="2212"/>
    <cellStyle name="_JEV-uitvraag Voice ZM feb06_OIT data LE,SCM,INS,targets" xfId="5071"/>
    <cellStyle name="_Journal P02" xfId="2213"/>
    <cellStyle name="_Journal P02_GDC nieuwe pfc cc jan  2011 v4" xfId="2214"/>
    <cellStyle name="_Journal P03" xfId="2215"/>
    <cellStyle name="_Journal P03_1" xfId="2216"/>
    <cellStyle name="_Journal P03_1_GDC nieuwe pfc cc jan  2011 v4" xfId="2217"/>
    <cellStyle name="_Journal P03_1_kostenplaatsensluiten consulting" xfId="2218"/>
    <cellStyle name="_Journal P05" xfId="2219"/>
    <cellStyle name="_Journal P05_GDC nieuwe pfc cc jan  2011 v4" xfId="2220"/>
    <cellStyle name="_Journal P10" xfId="2221"/>
    <cellStyle name="_Journal P10_GDC nieuwe pfc cc jan  2011 v4" xfId="2222"/>
    <cellStyle name="_JP 2006 LLS versie 3" xfId="292"/>
    <cellStyle name="_JP 2006 LLS versie 3 2" xfId="293"/>
    <cellStyle name="_JP 2006 LLS versie 3 3" xfId="2223"/>
    <cellStyle name="_JP 2006 LLS versie 3_ND5 squeeze model  whs-whs v2.21 DWDM ILL" xfId="2224"/>
    <cellStyle name="_JP_Core_231105_NOR" xfId="294"/>
    <cellStyle name="_JP_Core_231105_NOR 2" xfId="295"/>
    <cellStyle name="_JP_Core_231105_NOR 3" xfId="2225"/>
    <cellStyle name="_JP_Core_231105_NOR_ND5 squeeze model  whs-whs v2.21 DWDM ILL" xfId="2226"/>
    <cellStyle name="_Keuzelijsten" xfId="2227"/>
    <cellStyle name="_KEV-JEV BU CS" xfId="296"/>
    <cellStyle name="_KEV-JEV BU CS vs 2" xfId="297"/>
    <cellStyle name="_KIB MTA en bijz. posten" xfId="2228"/>
    <cellStyle name="_KIB MTA en bijz. posten 2" xfId="2229"/>
    <cellStyle name="_KIB MTA en bijz. posten 2 2" xfId="5072"/>
    <cellStyle name="_KIB MTA en bijz. posten 3" xfId="5073"/>
    <cellStyle name="_KIB MTA en bijz. posten 3 2" xfId="5074"/>
    <cellStyle name="_KIB MTA en bijz. posten 4" xfId="5075"/>
    <cellStyle name="_KIB MTA en bijz. posten 5" xfId="5076"/>
    <cellStyle name="_KIB MTA en bijz. posten_FC categoraal" xfId="2230"/>
    <cellStyle name="_KIB MTA en bijz. posten_GDC nieuwe pfc cc jan  2011 v4" xfId="2231"/>
    <cellStyle name="_KIB MTA en bijz. posten_JP2011" xfId="2232"/>
    <cellStyle name="_KIB MTA en bijz. posten_JP2011 2" xfId="2233"/>
    <cellStyle name="_KIB MTA en bijz. posten_JP2011_1" xfId="2234"/>
    <cellStyle name="_KIB MTA en bijz. posten_Pivot" xfId="5077"/>
    <cellStyle name="_KIB MTA en bijz. posten_PPT Link" xfId="5078"/>
    <cellStyle name="_KIB MTA en bijz. posten_Preclosing" xfId="2235"/>
    <cellStyle name="_KIB MTA en bijz. posten_Preclosing 2" xfId="2236"/>
    <cellStyle name="_KIB MTA en bijz. posten_Preclosing jan11" xfId="2237"/>
    <cellStyle name="_KIB MTA en bijz. posten_Preclosing_1" xfId="2238"/>
    <cellStyle name="_KIB MTA en bijz. posten_Preclosing_2" xfId="2239"/>
    <cellStyle name="_KIB MTA en bijz. posten_Preclosing_3" xfId="2240"/>
    <cellStyle name="_KIB MTA en bijz. posten_Preclosing_FC categoraal" xfId="2241"/>
    <cellStyle name="_KIB MTA en bijz. posten_Sheet1" xfId="2242"/>
    <cellStyle name="_KIB MTA en bijz. posten_Sheet1_1" xfId="2243"/>
    <cellStyle name="_KIB MTA en bijz. posten_Sheet1_1 2" xfId="2244"/>
    <cellStyle name="_KIB MTA en bijz. posten_Sheet1_1_FC categoraal" xfId="2245"/>
    <cellStyle name="_KIB MTA en bijz. posten_Sheet1_2" xfId="2246"/>
    <cellStyle name="_KIB MTA en bijz. posten_Sheet1_2 2" xfId="2247"/>
    <cellStyle name="_KIB MTA en bijz. posten_Sheet2" xfId="2248"/>
    <cellStyle name="_Klant P&amp;L" xfId="2249"/>
    <cellStyle name="_Klant P&amp;L 2" xfId="2250"/>
    <cellStyle name="_Klant P&amp;L 2 2" xfId="5079"/>
    <cellStyle name="_Klant P&amp;L 3" xfId="5080"/>
    <cellStyle name="_Klant P&amp;L 3 2" xfId="5081"/>
    <cellStyle name="_Klant P&amp;L 4" xfId="5082"/>
    <cellStyle name="_Klant P&amp;L 5" xfId="5083"/>
    <cellStyle name="_Klant P&amp;L_Blad2" xfId="2251"/>
    <cellStyle name="_Klant P&amp;L_Blad2 2" xfId="2252"/>
    <cellStyle name="_Klant P&amp;L_Blad2_JP2011" xfId="2253"/>
    <cellStyle name="_Klant P&amp;L_JP2011" xfId="2254"/>
    <cellStyle name="_Klant P&amp;L_Model Plan 2012" xfId="2255"/>
    <cellStyle name="_Klantcase INVULASSISTENT 2007-06-01_1 (2)" xfId="2256"/>
    <cellStyle name="_Klantcase INVULASSISTENT 2007-06-01_1 (2) 2" xfId="2257"/>
    <cellStyle name="_Klantcase INVULASSISTENT 2007-06-01_1 (2)_Blad2" xfId="2258"/>
    <cellStyle name="_Klantcase INVULASSISTENT 2007-06-01_1 (2)_Blad2 2" xfId="2259"/>
    <cellStyle name="_Klantcase INVULASSISTENT 2007-06-01_1 (2)_Blad2_JP2011" xfId="2260"/>
    <cellStyle name="_Klantcase INVULASSISTENT 2007-06-01_1 (2)_JP2011" xfId="2261"/>
    <cellStyle name="_Klantcase INVULASSISTENT 2007-06-01_1 (2)_Model Plan 2012" xfId="2262"/>
    <cellStyle name="_Klantcase INVULTOOL" xfId="298"/>
    <cellStyle name="_Klantcase INVULTOOL 2" xfId="2263"/>
    <cellStyle name="_Klantcase INVULTOOL 2 2" xfId="2264"/>
    <cellStyle name="_KOKOS-BP0709 met mngt fee" xfId="299"/>
    <cellStyle name="_KOKOS-BP0709 operations versie 26 9 06 excl MF VN" xfId="300"/>
    <cellStyle name="_Kopie van BP LLS 2005 v101  ronde 6" xfId="301"/>
    <cellStyle name="_Kopie van BP LLS 2005 v101  ronde 6 2" xfId="302"/>
    <cellStyle name="_Kopie van BP LLS 2005 v101  ronde 6 3" xfId="2265"/>
    <cellStyle name="_Kopie van BP LLS 2005 v101  ronde 6_ND5 squeeze model  whs-whs v2.21 DWDM ILL" xfId="2266"/>
    <cellStyle name="_Kopie van breakdown BP 2011 vast 15 dec" xfId="5084"/>
    <cellStyle name="_Kopie van IT Spending NL09ITSKP_200904 (2)" xfId="5085"/>
    <cellStyle name="_Kopie van IT Spending NL09ITSKP_200904 (2) 2" xfId="5086"/>
    <cellStyle name="_Kopie van IT Spending NL09ITSKP_200904 (2) 2 2" xfId="5087"/>
    <cellStyle name="_Kopie van IT Spending NL09ITSKP_200904 (2) 3" xfId="5088"/>
    <cellStyle name="_Kopie van IT Spending NL09ITSKP_200904 (2) 3 2" xfId="5089"/>
    <cellStyle name="_Kopie van IT Spending NL09ITSKP_200904 (2) 4" xfId="5090"/>
    <cellStyle name="_Kopie van IT Spending NL09ITSKP_200904 (2) 5" xfId="5091"/>
    <cellStyle name="_Kopie van Kostenboom CCA 2007 DEF (excl gebouw)" xfId="2267"/>
    <cellStyle name="_Kopie van PREPAID MODEL BC Q2 tijdelijk 08012009" xfId="5092"/>
    <cellStyle name="_Kopie van PREPAID MODEL BC Q2 tijdelijk 08012009 2" xfId="5093"/>
    <cellStyle name="_Kopie van PREPAID MODEL BC Q2 tijdelijk 08012009 2 2" xfId="5094"/>
    <cellStyle name="_Kopie van PREPAID MODEL BC Q2 tijdelijk 08012009 3" xfId="5095"/>
    <cellStyle name="_Kopie van PREPAID MODEL BC Q2 tijdelijk 08012009 3 2" xfId="5096"/>
    <cellStyle name="_Kopie van PREPAID MODEL BC Q2 tijdelijk 08012009 4" xfId="5097"/>
    <cellStyle name="_Kopie van PREPAID MODEL BC Q2 tijdelijk 08012009 5" xfId="5098"/>
    <cellStyle name="_Kopie van Uitkoppelsqueezing tov xDF_WBA CM ACTIE 20090629 (2)" xfId="303"/>
    <cellStyle name="_Koppeling OLS en trendanalyse" xfId="5099"/>
    <cellStyle name="_Koppeling OLS en trendanalyse 2" xfId="5100"/>
    <cellStyle name="_Koppeling OLS en trendanalyse 2 2" xfId="5101"/>
    <cellStyle name="_Koppeling OLS en trendanalyse 3" xfId="5102"/>
    <cellStyle name="_Koppeling OLS en trendanalyse 3 2" xfId="5103"/>
    <cellStyle name="_Koppeling OLS en trendanalyse 4" xfId="5104"/>
    <cellStyle name="_Koppeling OLS en trendanalyse 5" xfId="5105"/>
    <cellStyle name="_Kosten DWDM" xfId="304"/>
    <cellStyle name="_kosten model 2005" xfId="305"/>
    <cellStyle name="_kosten model 2005_LPM PL 20101014 Concept" xfId="2268"/>
    <cellStyle name="_kosten model 2005_LPM PL 20101028 obv LRIC inkoop" xfId="2269"/>
    <cellStyle name="_kosten model 2005_ND5 squeeze model  whs-whs v2.21 DWDM ILL" xfId="2270"/>
    <cellStyle name="_Kosten per applicatie v0 4 WSO 19-09-2006" xfId="306"/>
    <cellStyle name="_Kosten per applicatie v0 4 WSO 19-09-2006 2" xfId="307"/>
    <cellStyle name="_Kosten per applicatie v0 4 WSO 19-09-2006 3" xfId="2271"/>
    <cellStyle name="_Kosten per applicatie v0 4 WSO 19-09-2006_ND5 squeeze model  whs-whs v2.21 DWDM ILL" xfId="2272"/>
    <cellStyle name="_Kostenboom CCA 2007 DEF" xfId="2273"/>
    <cellStyle name="_Kostenverdeling ETN v03" xfId="308"/>
    <cellStyle name="_Kostenverdeling ETN v03 2" xfId="309"/>
    <cellStyle name="_Kostenverdeling ETN v03 3" xfId="2274"/>
    <cellStyle name="_Kostenverdeling ETN v03_ND5 squeeze model  whs-whs v2.21 DWDM ILL" xfId="2275"/>
    <cellStyle name="_kostprijs_Ethernet_08_08v1 Coen" xfId="310"/>
    <cellStyle name="_KPIs v39 ex WS" xfId="5106"/>
    <cellStyle name="_KPIs v39 ex WS 2" xfId="5107"/>
    <cellStyle name="_KPIs v39 ex WS 2 2" xfId="5108"/>
    <cellStyle name="_KPIs v39 ex WS 3" xfId="5109"/>
    <cellStyle name="_KPIs v39 ex WS 3 2" xfId="5110"/>
    <cellStyle name="_KPIs v39 ex WS 4" xfId="5111"/>
    <cellStyle name="_KPIs v39 ex WS 5" xfId="5112"/>
    <cellStyle name="_KPN Fixed" xfId="311"/>
    <cellStyle name="_KPN Fixed 2" xfId="2276"/>
    <cellStyle name="_KPN Fixed 2 2" xfId="2277"/>
    <cellStyle name="_KPN NG Ethernet MPLS Building Blocks-v6" xfId="312"/>
    <cellStyle name="_KPN NG Ethernet MPLS Building Blocks-v6_LPM PL 20101014 Concept" xfId="2278"/>
    <cellStyle name="_KPN NG Ethernet MPLS Building Blocks-v6_LPM PL 20101028 obv LRIC inkoop" xfId="2279"/>
    <cellStyle name="_KPN NG Ethernet MPLS Building Blocks-v6_ND5 squeeze model  whs-whs v2.21 DWDM ILL" xfId="2280"/>
    <cellStyle name="_KPN ONE Hardware 4v3" xfId="2281"/>
    <cellStyle name="_KPN ONE Hardware 4v3 2" xfId="2282"/>
    <cellStyle name="_KPN ONE Hardware 4v3 2 2" xfId="2283"/>
    <cellStyle name="_KvB_Full year ZM june 08" xfId="2284"/>
    <cellStyle name="_KWT IS Data 2011-01-07" xfId="2285"/>
    <cellStyle name="_LE-OIT-2010" xfId="5113"/>
    <cellStyle name="_Like-for-like res" xfId="2286"/>
    <cellStyle name="_Like-for-like res 2" xfId="2287"/>
    <cellStyle name="_Like-for-like res_JP2011" xfId="2288"/>
    <cellStyle name="_LOCAL LOOP afdelingen 2004" xfId="313"/>
    <cellStyle name="_LOCAL LOOP afdelingen 2004 2" xfId="314"/>
    <cellStyle name="_LOCAL LOOP afdelingen 2004 2 2" xfId="2289"/>
    <cellStyle name="_LOCAL LOOP afdelingen 2004 3" xfId="2290"/>
    <cellStyle name="_LOCAL LOOP afdelingen 2004 3 2" xfId="5114"/>
    <cellStyle name="_LOCAL LOOP afdelingen 2004 4" xfId="5115"/>
    <cellStyle name="_LOCAL LOOP afdelingen 2004 5" xfId="5116"/>
    <cellStyle name="_LOCAL LOOP afdelingen 2004_Blad2" xfId="2291"/>
    <cellStyle name="_LOCAL LOOP afdelingen 2004_Blad2 2" xfId="2292"/>
    <cellStyle name="_LOCAL LOOP afdelingen 2004_Blad2_JP2011" xfId="2293"/>
    <cellStyle name="_LOCAL LOOP afdelingen 2004_EVPN Model_20102601_v0.1" xfId="315"/>
    <cellStyle name="_LOCAL LOOP afdelingen 2004_JP2011" xfId="2294"/>
    <cellStyle name="_LOCAL LOOP afdelingen 2004_KWT IS Data 2010-10-07" xfId="2295"/>
    <cellStyle name="_LOCAL LOOP afdelingen 2004_Model Plan 2012" xfId="2296"/>
    <cellStyle name="_LOCAL LOOP afdelingen 2004_ND5 squeeze model  whs-whs v2.21 DWDM ILL" xfId="2297"/>
    <cellStyle name="_LOCAL LOOP afdelingen 2004_ZM IS Data Tarievenboek 2010-03-11" xfId="316"/>
    <cellStyle name="_LOCAL LOOP ILL 2004 versie4" xfId="317"/>
    <cellStyle name="_LOCAL LOOP ILL 2004 versie4 2" xfId="318"/>
    <cellStyle name="_LOCAL LOOP ILL 2004 versie4 3" xfId="2298"/>
    <cellStyle name="_LOCAL LOOP ILL 2004 versie4_ND5 squeeze model  whs-whs v2.21 DWDM ILL" xfId="2299"/>
    <cellStyle name="_Lws Portfolio -  Tss -Preliminary 1215" xfId="319"/>
    <cellStyle name="_Lws Portfolio -  Tss -Preliminary 1215 2" xfId="320"/>
    <cellStyle name="_Lws Portfolio -  Tss -Preliminary 1215 3" xfId="2300"/>
    <cellStyle name="_Lws Portfolio -  Tss -Preliminary 1215_ND5 squeeze model  whs-whs v2.21 DWDM ILL" xfId="2301"/>
    <cellStyle name="_LWS Portfolio Comcode Alignment - Preliminary" xfId="321"/>
    <cellStyle name="_LWS Portfolio Comcode Alignment - Preliminary 2" xfId="322"/>
    <cellStyle name="_LWS Portfolio Comcode Alignment - Preliminary 3" xfId="2302"/>
    <cellStyle name="_LWS Portfolio Comcode Alignment - Preliminary_ND5 squeeze model  whs-whs v2.21 DWDM ILL" xfId="2303"/>
    <cellStyle name="_LWS Portfolio Structure for FY 2003" xfId="323"/>
    <cellStyle name="_LWS Portfolio Structure for FY 2003 2" xfId="324"/>
    <cellStyle name="_LWS Portfolio Structure for FY 2003 3" xfId="2304"/>
    <cellStyle name="_LWS Portfolio Structure for FY 2003_ND5 squeeze model  whs-whs v2.21 DWDM ILL" xfId="2305"/>
    <cellStyle name="_LWS_FIN_SUM_KPN Ethernet NG v1.4" xfId="325"/>
    <cellStyle name="_LWS_FIN_SUM_KPN Ethernet NG v1.4 2" xfId="326"/>
    <cellStyle name="_LWS_FIN_SUM_KPN Ethernet NG v1.4 3" xfId="2306"/>
    <cellStyle name="_LWS_FIN_SUM_KPN Ethernet NG v1.4_ND5 squeeze model  whs-whs v2.21 DWDM ILL" xfId="2307"/>
    <cellStyle name="_LWS_FIN_SUM_KPN Ethernet NG v1.5" xfId="327"/>
    <cellStyle name="_LWS_FIN_SUM_KPN Ethernet NG v1.5 2" xfId="328"/>
    <cellStyle name="_LWS_FIN_SUM_KPN Ethernet NG v1.5 3" xfId="2308"/>
    <cellStyle name="_LWS_FIN_SUM_KPN Ethernet NG v1.5_ND5 squeeze model  whs-whs v2.21 DWDM ILL" xfId="2309"/>
    <cellStyle name="_LWS_FIN_SUM_KPN Ethernet NG v1.6" xfId="329"/>
    <cellStyle name="_LWS_FIN_SUM_KPN Ethernet NG v1.6 2" xfId="330"/>
    <cellStyle name="_LWS_FIN_SUM_KPN Ethernet NG v1.6 3" xfId="2310"/>
    <cellStyle name="_LWS_FIN_SUM_KPN Ethernet NG v1.6_ND5 squeeze model  whs-whs v2.21 DWDM ILL" xfId="2311"/>
    <cellStyle name="_M A S" xfId="331"/>
    <cellStyle name="_M A S 2" xfId="332"/>
    <cellStyle name="_M A S 2 2" xfId="2312"/>
    <cellStyle name="_M A S 3" xfId="2313"/>
    <cellStyle name="_M A S 3 2" xfId="5117"/>
    <cellStyle name="_M A S 4" xfId="5118"/>
    <cellStyle name="_M A S 5" xfId="5119"/>
    <cellStyle name="_M A S_Blad2" xfId="2314"/>
    <cellStyle name="_M A S_Blad2 2" xfId="2315"/>
    <cellStyle name="_M A S_Blad2_JP2011" xfId="2316"/>
    <cellStyle name="_M A S_EVPN Model_20102601_v0.1" xfId="333"/>
    <cellStyle name="_M A S_JP2011" xfId="2317"/>
    <cellStyle name="_M A S_KWT IS Data 2010-10-07" xfId="2318"/>
    <cellStyle name="_M A S_Model Plan 2012" xfId="2319"/>
    <cellStyle name="_M A S_ND5 squeeze model  whs-whs v2.21 DWDM ILL" xfId="2320"/>
    <cellStyle name="_M A S_ZM IS Data Tarievenboek 2010-03-11" xfId="334"/>
    <cellStyle name="_Maandrapportage RV Apr 2008 (2)" xfId="5120"/>
    <cellStyle name="_maandverdeling JP 06 versie 2 inkoop CS" xfId="335"/>
    <cellStyle name="_maandverdeling JP 06 versie 2 inkoop CS 2" xfId="336"/>
    <cellStyle name="_maandverdeling JP 06 versie 2 inkoop CS 2 2" xfId="5121"/>
    <cellStyle name="_maandverdeling JP 06 versie 2 inkoop CS 3" xfId="2321"/>
    <cellStyle name="_maandverdeling JP 06 versie 2 inkoop CS 3 2" xfId="5122"/>
    <cellStyle name="_maandverdeling JP 06 versie 2 inkoop CS 4" xfId="5123"/>
    <cellStyle name="_maandverdeling JP 06 versie 2 inkoop CS 5" xfId="5124"/>
    <cellStyle name="_maandverdeling JP 06 versie 2 inkoop CS_110810_Overzicht_Orderintake" xfId="5125"/>
    <cellStyle name="_maandverdeling JP 06 versie 2 inkoop CS_20080530 Consolidatie Businessplan v12" xfId="2322"/>
    <cellStyle name="_maandverdeling JP 06 versie 2 inkoop CS_20080530 Consolidatie Businessplan v12 2" xfId="2323"/>
    <cellStyle name="_maandverdeling JP 06 versie 2 inkoop CS_20080530 Consolidatie Businessplan v12 2 2" xfId="5126"/>
    <cellStyle name="_maandverdeling JP 06 versie 2 inkoop CS_20080530 Consolidatie Businessplan v12 3" xfId="5127"/>
    <cellStyle name="_maandverdeling JP 06 versie 2 inkoop CS_20080530 Consolidatie Businessplan v12 3 2" xfId="5128"/>
    <cellStyle name="_maandverdeling JP 06 versie 2 inkoop CS_20080530 Consolidatie Businessplan v12 4" xfId="5129"/>
    <cellStyle name="_maandverdeling JP 06 versie 2 inkoop CS_20080530 Consolidatie Businessplan v12 5" xfId="5130"/>
    <cellStyle name="_maandverdeling JP 06 versie 2 inkoop CS_20080530 Consolidatie Businessplan v12_Blad2" xfId="2324"/>
    <cellStyle name="_maandverdeling JP 06 versie 2 inkoop CS_20080530 Consolidatie Businessplan v12_Blad2 2" xfId="2325"/>
    <cellStyle name="_maandverdeling JP 06 versie 2 inkoop CS_20080530 Consolidatie Businessplan v12_Blad2_JP2011" xfId="2326"/>
    <cellStyle name="_maandverdeling JP 06 versie 2 inkoop CS_20080530 Consolidatie Businessplan v12_JP2011" xfId="2327"/>
    <cellStyle name="_maandverdeling JP 06 versie 2 inkoop CS_20080530 Consolidatie Businessplan v12_Model Plan 2012" xfId="2328"/>
    <cellStyle name="_maandverdeling JP 06 versie 2 inkoop CS_20080605 Consolidatie Businessplan v15" xfId="2329"/>
    <cellStyle name="_maandverdeling JP 06 versie 2 inkoop CS_20080605 Consolidatie Businessplan v15 2" xfId="2330"/>
    <cellStyle name="_maandverdeling JP 06 versie 2 inkoop CS_20080605 Consolidatie Businessplan v15 2 2" xfId="5131"/>
    <cellStyle name="_maandverdeling JP 06 versie 2 inkoop CS_20080605 Consolidatie Businessplan v15 3" xfId="5132"/>
    <cellStyle name="_maandverdeling JP 06 versie 2 inkoop CS_20080605 Consolidatie Businessplan v15 3 2" xfId="5133"/>
    <cellStyle name="_maandverdeling JP 06 versie 2 inkoop CS_20080605 Consolidatie Businessplan v15 4" xfId="5134"/>
    <cellStyle name="_maandverdeling JP 06 versie 2 inkoop CS_20080605 Consolidatie Businessplan v15 5" xfId="5135"/>
    <cellStyle name="_maandverdeling JP 06 versie 2 inkoop CS_20080605 Consolidatie Businessplan v15_Blad2" xfId="2331"/>
    <cellStyle name="_maandverdeling JP 06 versie 2 inkoop CS_20080605 Consolidatie Businessplan v15_Blad2 2" xfId="2332"/>
    <cellStyle name="_maandverdeling JP 06 versie 2 inkoop CS_20080605 Consolidatie Businessplan v15_Blad2_JP2011" xfId="2333"/>
    <cellStyle name="_maandverdeling JP 06 versie 2 inkoop CS_20080605 Consolidatie Businessplan v15_JP2011" xfId="2334"/>
    <cellStyle name="_maandverdeling JP 06 versie 2 inkoop CS_20080605 Consolidatie Businessplan v15_Model Plan 2012" xfId="2335"/>
    <cellStyle name="_maandverdeling JP 06 versie 2 inkoop CS_20080605 Consolidatie Businessplan v19" xfId="2336"/>
    <cellStyle name="_maandverdeling JP 06 versie 2 inkoop CS_20080605 Consolidatie Businessplan v19 2" xfId="2337"/>
    <cellStyle name="_maandverdeling JP 06 versie 2 inkoop CS_20080605 Consolidatie Businessplan v19 2 2" xfId="5136"/>
    <cellStyle name="_maandverdeling JP 06 versie 2 inkoop CS_20080605 Consolidatie Businessplan v19 3" xfId="5137"/>
    <cellStyle name="_maandverdeling JP 06 versie 2 inkoop CS_20080605 Consolidatie Businessplan v19 3 2" xfId="5138"/>
    <cellStyle name="_maandverdeling JP 06 versie 2 inkoop CS_20080605 Consolidatie Businessplan v19 4" xfId="5139"/>
    <cellStyle name="_maandverdeling JP 06 versie 2 inkoop CS_20080605 Consolidatie Businessplan v19 5" xfId="5140"/>
    <cellStyle name="_maandverdeling JP 06 versie 2 inkoop CS_20080605 Consolidatie Businessplan v19_Blad2" xfId="2338"/>
    <cellStyle name="_maandverdeling JP 06 versie 2 inkoop CS_20080605 Consolidatie Businessplan v19_Blad2 2" xfId="2339"/>
    <cellStyle name="_maandverdeling JP 06 versie 2 inkoop CS_20080605 Consolidatie Businessplan v19_Blad2_JP2011" xfId="2340"/>
    <cellStyle name="_maandverdeling JP 06 versie 2 inkoop CS_20080605 Consolidatie Businessplan v19_JP2011" xfId="2341"/>
    <cellStyle name="_maandverdeling JP 06 versie 2 inkoop CS_20080605 Consolidatie Businessplan v19_Model Plan 2012" xfId="2342"/>
    <cellStyle name="_maandverdeling JP 06 versie 2 inkoop CS_BenI" xfId="5141"/>
    <cellStyle name="_maandverdeling JP 06 versie 2 inkoop CS_Blad2" xfId="2343"/>
    <cellStyle name="_maandverdeling JP 06 versie 2 inkoop CS_Blad2 2" xfId="2344"/>
    <cellStyle name="_maandverdeling JP 06 versie 2 inkoop CS_Blad2_JP2011" xfId="2345"/>
    <cellStyle name="_maandverdeling JP 06 versie 2 inkoop CS_Fixed Data" xfId="5142"/>
    <cellStyle name="_maandverdeling JP 06 versie 2 inkoop CS_JP2011" xfId="2346"/>
    <cellStyle name="_maandverdeling JP 06 versie 2 inkoop CS_Model Plan 2012" xfId="2347"/>
    <cellStyle name="_maandverdeling JP 06 versie 2 inkoop CS_ND5 squeeze model  whs-whs v2.21 DWDM ILL" xfId="2348"/>
    <cellStyle name="_maandverdeling JP 06 versie 2 inkoop CS_SWOL" xfId="5143"/>
    <cellStyle name="_Managed Service  PL - FC_10 v FC_12" xfId="2349"/>
    <cellStyle name="_Map1" xfId="337"/>
    <cellStyle name="_Map1 (11)" xfId="5144"/>
    <cellStyle name="_Map1 (2)" xfId="338"/>
    <cellStyle name="_Map1 (2) 2" xfId="339"/>
    <cellStyle name="_Map1 (2) 3" xfId="2350"/>
    <cellStyle name="_Map1 (2)_ND5 squeeze model  whs-whs v2.21 DWDM ILL" xfId="2351"/>
    <cellStyle name="_Map1 (6)" xfId="5145"/>
    <cellStyle name="_Map1 10" xfId="5146"/>
    <cellStyle name="_Map1 10 2" xfId="5147"/>
    <cellStyle name="_Map1 11" xfId="5148"/>
    <cellStyle name="_Map1 11 2" xfId="5149"/>
    <cellStyle name="_Map1 12" xfId="5150"/>
    <cellStyle name="_Map1 12 2" xfId="5151"/>
    <cellStyle name="_Map1 13" xfId="5152"/>
    <cellStyle name="_Map1 13 2" xfId="5153"/>
    <cellStyle name="_Map1 14" xfId="5154"/>
    <cellStyle name="_Map1 14 2" xfId="5155"/>
    <cellStyle name="_Map1 15" xfId="5156"/>
    <cellStyle name="_Map1 15 2" xfId="5157"/>
    <cellStyle name="_Map1 16" xfId="5158"/>
    <cellStyle name="_Map1 16 2" xfId="5159"/>
    <cellStyle name="_Map1 17" xfId="5160"/>
    <cellStyle name="_Map1 17 2" xfId="5161"/>
    <cellStyle name="_Map1 18" xfId="5162"/>
    <cellStyle name="_Map1 18 2" xfId="5163"/>
    <cellStyle name="_Map1 19" xfId="5164"/>
    <cellStyle name="_Map1 19 2" xfId="5165"/>
    <cellStyle name="_Map1 2" xfId="340"/>
    <cellStyle name="_Map1 2 2" xfId="5166"/>
    <cellStyle name="_Map1 20" xfId="5167"/>
    <cellStyle name="_Map1 20 2" xfId="5168"/>
    <cellStyle name="_Map1 21" xfId="5169"/>
    <cellStyle name="_Map1 21 2" xfId="5170"/>
    <cellStyle name="_Map1 22" xfId="5171"/>
    <cellStyle name="_Map1 22 2" xfId="5172"/>
    <cellStyle name="_Map1 23" xfId="5173"/>
    <cellStyle name="_Map1 24" xfId="5174"/>
    <cellStyle name="_Map1 25" xfId="5175"/>
    <cellStyle name="_Map1 26" xfId="5176"/>
    <cellStyle name="_Map1 27" xfId="5177"/>
    <cellStyle name="_Map1 28" xfId="5178"/>
    <cellStyle name="_Map1 29" xfId="5179"/>
    <cellStyle name="_Map1 3" xfId="2352"/>
    <cellStyle name="_Map1 3 2" xfId="5180"/>
    <cellStyle name="_Map1 30" xfId="5181"/>
    <cellStyle name="_Map1 31" xfId="5182"/>
    <cellStyle name="_Map1 32" xfId="5183"/>
    <cellStyle name="_Map1 33" xfId="5184"/>
    <cellStyle name="_Map1 34" xfId="5185"/>
    <cellStyle name="_Map1 35" xfId="5186"/>
    <cellStyle name="_Map1 36" xfId="5187"/>
    <cellStyle name="_Map1 37" xfId="5188"/>
    <cellStyle name="_Map1 38" xfId="5189"/>
    <cellStyle name="_Map1 39" xfId="5190"/>
    <cellStyle name="_Map1 4" xfId="5191"/>
    <cellStyle name="_Map1 4 2" xfId="5192"/>
    <cellStyle name="_Map1 40" xfId="5193"/>
    <cellStyle name="_Map1 41" xfId="5194"/>
    <cellStyle name="_Map1 42" xfId="5195"/>
    <cellStyle name="_Map1 43" xfId="5196"/>
    <cellStyle name="_Map1 5" xfId="5197"/>
    <cellStyle name="_Map1 5 2" xfId="5198"/>
    <cellStyle name="_Map1 6" xfId="5199"/>
    <cellStyle name="_Map1 6 2" xfId="5200"/>
    <cellStyle name="_Map1 7" xfId="5201"/>
    <cellStyle name="_Map1 7 2" xfId="5202"/>
    <cellStyle name="_Map1 8" xfId="5203"/>
    <cellStyle name="_Map1 8 2" xfId="5204"/>
    <cellStyle name="_Map1 9" xfId="5205"/>
    <cellStyle name="_Map1 9 2" xfId="5206"/>
    <cellStyle name="_Map1_1" xfId="341"/>
    <cellStyle name="_Map1_101001 Value Buckets v10" xfId="5207"/>
    <cellStyle name="_Map1_20100818 input format OPEX spec" xfId="5208"/>
    <cellStyle name="_Map1_FC categoraal" xfId="2353"/>
    <cellStyle name="_Map1_GDC nieuwe pfc cc jan  2011 v4" xfId="2354"/>
    <cellStyle name="_Map1_JP2011" xfId="2355"/>
    <cellStyle name="_Map1_JP2011 2" xfId="2356"/>
    <cellStyle name="_Map1_JP2011_1" xfId="2357"/>
    <cellStyle name="_Map1_ND5 squeeze model  whs-whs v2.21 DWDM ILL" xfId="2358"/>
    <cellStyle name="_Map1_NewVB NL Q v319 ex7en9" xfId="5209"/>
    <cellStyle name="_Map1_Pivot" xfId="5210"/>
    <cellStyle name="_Map1_PPT Link" xfId="5211"/>
    <cellStyle name="_Map1_Preclosing" xfId="2359"/>
    <cellStyle name="_Map1_Preclosing 2" xfId="2360"/>
    <cellStyle name="_Map1_Preclosing jan11" xfId="2361"/>
    <cellStyle name="_Map1_Preclosing_1" xfId="2362"/>
    <cellStyle name="_Map1_Preclosing_2" xfId="2363"/>
    <cellStyle name="_Map1_Preclosing_3" xfId="2364"/>
    <cellStyle name="_Map1_Preclosing_FC categoraal" xfId="2365"/>
    <cellStyle name="_Map1_Sheet1" xfId="2366"/>
    <cellStyle name="_Map1_Sheet1_1" xfId="2367"/>
    <cellStyle name="_Map1_Sheet1_1 2" xfId="2368"/>
    <cellStyle name="_Map1_Sheet1_1_FC categoraal" xfId="2369"/>
    <cellStyle name="_Map1_Sheet1_2" xfId="2370"/>
    <cellStyle name="_Map1_Sheet1_2 2" xfId="2371"/>
    <cellStyle name="_Map1_Sheet2" xfId="2372"/>
    <cellStyle name="_Map11" xfId="2373"/>
    <cellStyle name="_Map11 2" xfId="2374"/>
    <cellStyle name="_Map11 2 2" xfId="5212"/>
    <cellStyle name="_Map11 3" xfId="5213"/>
    <cellStyle name="_Map11 3 2" xfId="5214"/>
    <cellStyle name="_Map11 4" xfId="5215"/>
    <cellStyle name="_Map11 5" xfId="5216"/>
    <cellStyle name="_Map11_FC categoraal" xfId="2375"/>
    <cellStyle name="_Map11_GDC nieuwe pfc cc jan  2011 v4" xfId="2376"/>
    <cellStyle name="_Map11_JP2011" xfId="2377"/>
    <cellStyle name="_Map11_JP2011 2" xfId="2378"/>
    <cellStyle name="_Map11_JP2011_1" xfId="2379"/>
    <cellStyle name="_Map11_Pivot" xfId="5217"/>
    <cellStyle name="_Map11_PPT Link" xfId="5218"/>
    <cellStyle name="_Map11_Preclosing" xfId="2380"/>
    <cellStyle name="_Map11_Preclosing 2" xfId="2381"/>
    <cellStyle name="_Map11_Preclosing jan11" xfId="2382"/>
    <cellStyle name="_Map11_Preclosing_1" xfId="2383"/>
    <cellStyle name="_Map11_Preclosing_2" xfId="2384"/>
    <cellStyle name="_Map11_Preclosing_3" xfId="2385"/>
    <cellStyle name="_Map11_Preclosing_FC categoraal" xfId="2386"/>
    <cellStyle name="_Map11_Sheet1" xfId="2387"/>
    <cellStyle name="_Map11_Sheet1_1" xfId="2388"/>
    <cellStyle name="_Map11_Sheet1_1 2" xfId="2389"/>
    <cellStyle name="_Map11_Sheet1_1_FC categoraal" xfId="2390"/>
    <cellStyle name="_Map11_Sheet1_2" xfId="2391"/>
    <cellStyle name="_Map11_Sheet1_2 2" xfId="2392"/>
    <cellStyle name="_Map11_Sheet2" xfId="2393"/>
    <cellStyle name="_Map2" xfId="342"/>
    <cellStyle name="_Map2 (5) (2)" xfId="5219"/>
    <cellStyle name="_Map2 2" xfId="343"/>
    <cellStyle name="_Map2 3" xfId="2394"/>
    <cellStyle name="_Map2_BP07-v27" xfId="344"/>
    <cellStyle name="_Map2_BP07-v27 2" xfId="345"/>
    <cellStyle name="_Map2_BP07-v27 3" xfId="2395"/>
    <cellStyle name="_Map2_BP07-v27_ND5 squeeze model  whs-whs v2.21 DWDM ILL" xfId="2396"/>
    <cellStyle name="_Map2_Interne verrekening SLA2007 WO BO LEV BS - ZM NS CS versie 05-2007" xfId="346"/>
    <cellStyle name="_Map2_Interne verrekening SLA2007 WO BO LEV BS - ZM NS CS versie 05-2007 (2)" xfId="347"/>
    <cellStyle name="_Map2_Interne verrekening SLA2007 WO BO LEV BS - ZM NS CS versie 05-2007 (2) 2" xfId="348"/>
    <cellStyle name="_Map2_Interne verrekening SLA2007 WO BO LEV BS - ZM NS CS versie 05-2007 (2) 3" xfId="2397"/>
    <cellStyle name="_Map2_Interne verrekening SLA2007 WO BO LEV BS - ZM NS CS versie 05-2007 (2)_ND5 squeeze model  whs-whs v2.21 DWDM ILL" xfId="2398"/>
    <cellStyle name="_Map2_Interne verrekening SLA2007 WO BO LEV BS - ZM NS CS versie 05-2007 2" xfId="349"/>
    <cellStyle name="_Map2_Interne verrekening SLA2007 WO BO LEV BS - ZM NS CS versie 05-2007 3" xfId="2399"/>
    <cellStyle name="_Map2_Interne verrekening SLA2007 WO BO LEV BS - ZM NS CS versie 05-2007_ND5 squeeze model  whs-whs v2.21 DWDM ILL" xfId="2400"/>
    <cellStyle name="_Map2_JEVconcept2007 16 mei Marcel_Jeff" xfId="350"/>
    <cellStyle name="_Map2_JEVconcept2007 16 mei Marcel_Jeff 2" xfId="351"/>
    <cellStyle name="_Map2_JEVconcept2007 16 mei Marcel_Jeff 3" xfId="2401"/>
    <cellStyle name="_Map2_JEVconcept2007 16 mei Marcel_Jeff_ND5 squeeze model  whs-whs v2.21 DWDM ILL" xfId="2402"/>
    <cellStyle name="_Map2_ND5 squeeze model  whs-whs v2.21 DWDM ILL" xfId="2403"/>
    <cellStyle name="_Map2_Transferpricing2005 - 2007(restate 2006(definitief13-12-2006)" xfId="352"/>
    <cellStyle name="_Map2_Transferpricing2005 - 2007(restate 2006(definitief13-12-2006) 2" xfId="353"/>
    <cellStyle name="_Map2_Transferpricing2005 - 2007(restate 2006(definitief13-12-2006) 3" xfId="2404"/>
    <cellStyle name="_Map2_Transferpricing2005 - 2007(restate 2006(definitief13-12-2006)_ND5 squeeze model  whs-whs v2.21 DWDM ILL" xfId="2405"/>
    <cellStyle name="_Map2_verrekening producten 11b-12-2006 WSO + ZM evpn lrac 5jr" xfId="354"/>
    <cellStyle name="_Map2_verrekening producten 11b-12-2006 WSO + ZM evpn lrac 5jr 2" xfId="355"/>
    <cellStyle name="_Map2_verrekening producten 11b-12-2006 WSO + ZM evpn lrac 5jr 3" xfId="2406"/>
    <cellStyle name="_Map2_verrekening producten 11b-12-2006 WSO + ZM evpn lrac 5jr_ND5 squeeze model  whs-whs v2.21 DWDM ILL" xfId="2407"/>
    <cellStyle name="_Map2_verrekening producten 4-12-2006 WSO + ZM evpn lrac 5jr" xfId="356"/>
    <cellStyle name="_Map2_verrekening producten 4-12-2006 WSO + ZM evpn lrac 5jr 2" xfId="357"/>
    <cellStyle name="_Map2_verrekening producten 4-12-2006 WSO + ZM evpn lrac 5jr 3" xfId="2408"/>
    <cellStyle name="_Map2_verrekening producten 4-12-2006 WSO + ZM evpn lrac 5jr_ND5 squeeze model  whs-whs v2.21 DWDM ILL" xfId="2409"/>
    <cellStyle name="_Map2_verrekening producten 7-12-2006 WSO + ZM evpn lrac 5jr" xfId="358"/>
    <cellStyle name="_Map2_verrekening producten 7-12-2006 WSO + ZM evpn lrac 5jr 2" xfId="359"/>
    <cellStyle name="_Map2_verrekening producten 7-12-2006 WSO + ZM evpn lrac 5jr 3" xfId="2410"/>
    <cellStyle name="_Map2_verrekening producten 7-12-2006 WSO + ZM evpn lrac 5jr_ND5 squeeze model  whs-whs v2.21 DWDM ILL" xfId="2411"/>
    <cellStyle name="_Map3" xfId="360"/>
    <cellStyle name="_Map3 (2)" xfId="5221"/>
    <cellStyle name="_Map3 (2) 2" xfId="5222"/>
    <cellStyle name="_Map3 (2) 2 2" xfId="5223"/>
    <cellStyle name="_Map3 (2) 3" xfId="5224"/>
    <cellStyle name="_Map3 (2) 3 2" xfId="5225"/>
    <cellStyle name="_Map3 (2) 4" xfId="5226"/>
    <cellStyle name="_Map3 (2) 5" xfId="5227"/>
    <cellStyle name="_Map3 (3)" xfId="5228"/>
    <cellStyle name="_Map3 (3) 2" xfId="5229"/>
    <cellStyle name="_Map3 (3) 2 2" xfId="5230"/>
    <cellStyle name="_Map3 (3) 3" xfId="5231"/>
    <cellStyle name="_Map3 (3) 3 2" xfId="5232"/>
    <cellStyle name="_Map3 (3) 4" xfId="5233"/>
    <cellStyle name="_Map3 (3) 5" xfId="5234"/>
    <cellStyle name="_Map3 2" xfId="361"/>
    <cellStyle name="_Map3 3" xfId="2412"/>
    <cellStyle name="_Map3 4" xfId="5220"/>
    <cellStyle name="_Map3_Active PQ" xfId="362"/>
    <cellStyle name="_Map3_Marktcijfers" xfId="5235"/>
    <cellStyle name="_Map3_Marktcijfers 2" xfId="5236"/>
    <cellStyle name="_Map3_Marktcijfers 2 2" xfId="5237"/>
    <cellStyle name="_Map3_Marktcijfers 3" xfId="5238"/>
    <cellStyle name="_Map3_Marktcijfers 3 2" xfId="5239"/>
    <cellStyle name="_Map3_Marktcijfers 4" xfId="5240"/>
    <cellStyle name="_Map3_Marktcijfers 5" xfId="5241"/>
    <cellStyle name="_Map3_ND5 squeeze model  whs-whs v2.21 DWDM ILL" xfId="2413"/>
    <cellStyle name="_Map3_prijsmix willem KPN Internet berekening 03-2006" xfId="363"/>
    <cellStyle name="_Map3_Prijsmix willem kpn-i vorig jaar" xfId="364"/>
    <cellStyle name="_Map4" xfId="5242"/>
    <cellStyle name="_markt ASL aug05" xfId="2414"/>
    <cellStyle name="_markt ASL aug05 2" xfId="2415"/>
    <cellStyle name="_markt ASL aug05 2 2" xfId="5243"/>
    <cellStyle name="_markt ASL aug05 3" xfId="5244"/>
    <cellStyle name="_markt ASL aug05 3 2" xfId="5245"/>
    <cellStyle name="_markt ASL aug05 4" xfId="5246"/>
    <cellStyle name="_markt ASL aug05 5" xfId="5247"/>
    <cellStyle name="_markt ASL aug05_110810_Overzicht_Orderintake" xfId="5248"/>
    <cellStyle name="_markt ASL aug05_20080530 Consolidatie Businessplan v12" xfId="2416"/>
    <cellStyle name="_markt ASL aug05_20080530 Consolidatie Businessplan v12 2" xfId="2417"/>
    <cellStyle name="_markt ASL aug05_20080530 Consolidatie Businessplan v12 2 2" xfId="5249"/>
    <cellStyle name="_markt ASL aug05_20080530 Consolidatie Businessplan v12 3" xfId="5250"/>
    <cellStyle name="_markt ASL aug05_20080530 Consolidatie Businessplan v12 3 2" xfId="5251"/>
    <cellStyle name="_markt ASL aug05_20080530 Consolidatie Businessplan v12 4" xfId="5252"/>
    <cellStyle name="_markt ASL aug05_20080530 Consolidatie Businessplan v12 5" xfId="5253"/>
    <cellStyle name="_markt ASL aug05_20080530 Consolidatie Businessplan v12_Blad2" xfId="2418"/>
    <cellStyle name="_markt ASL aug05_20080530 Consolidatie Businessplan v12_Blad2 2" xfId="2419"/>
    <cellStyle name="_markt ASL aug05_20080530 Consolidatie Businessplan v12_Blad2_JP2011" xfId="2420"/>
    <cellStyle name="_markt ASL aug05_20080530 Consolidatie Businessplan v12_JP2011" xfId="2421"/>
    <cellStyle name="_markt ASL aug05_20080530 Consolidatie Businessplan v12_Model Plan 2012" xfId="2422"/>
    <cellStyle name="_markt ASL aug05_20080605 Consolidatie Businessplan v15" xfId="2423"/>
    <cellStyle name="_markt ASL aug05_20080605 Consolidatie Businessplan v15 2" xfId="2424"/>
    <cellStyle name="_markt ASL aug05_20080605 Consolidatie Businessplan v15 2 2" xfId="5254"/>
    <cellStyle name="_markt ASL aug05_20080605 Consolidatie Businessplan v15 3" xfId="5255"/>
    <cellStyle name="_markt ASL aug05_20080605 Consolidatie Businessplan v15 3 2" xfId="5256"/>
    <cellStyle name="_markt ASL aug05_20080605 Consolidatie Businessplan v15 4" xfId="5257"/>
    <cellStyle name="_markt ASL aug05_20080605 Consolidatie Businessplan v15 5" xfId="5258"/>
    <cellStyle name="_markt ASL aug05_20080605 Consolidatie Businessplan v15_Blad2" xfId="2425"/>
    <cellStyle name="_markt ASL aug05_20080605 Consolidatie Businessplan v15_Blad2 2" xfId="2426"/>
    <cellStyle name="_markt ASL aug05_20080605 Consolidatie Businessplan v15_Blad2_JP2011" xfId="2427"/>
    <cellStyle name="_markt ASL aug05_20080605 Consolidatie Businessplan v15_JP2011" xfId="2428"/>
    <cellStyle name="_markt ASL aug05_20080605 Consolidatie Businessplan v15_Model Plan 2012" xfId="2429"/>
    <cellStyle name="_markt ASL aug05_20080605 Consolidatie Businessplan v19" xfId="2430"/>
    <cellStyle name="_markt ASL aug05_20080605 Consolidatie Businessplan v19 2" xfId="2431"/>
    <cellStyle name="_markt ASL aug05_20080605 Consolidatie Businessplan v19 2 2" xfId="5259"/>
    <cellStyle name="_markt ASL aug05_20080605 Consolidatie Businessplan v19 3" xfId="5260"/>
    <cellStyle name="_markt ASL aug05_20080605 Consolidatie Businessplan v19 3 2" xfId="5261"/>
    <cellStyle name="_markt ASL aug05_20080605 Consolidatie Businessplan v19 4" xfId="5262"/>
    <cellStyle name="_markt ASL aug05_20080605 Consolidatie Businessplan v19 5" xfId="5263"/>
    <cellStyle name="_markt ASL aug05_20080605 Consolidatie Businessplan v19_Blad2" xfId="2432"/>
    <cellStyle name="_markt ASL aug05_20080605 Consolidatie Businessplan v19_Blad2 2" xfId="2433"/>
    <cellStyle name="_markt ASL aug05_20080605 Consolidatie Businessplan v19_Blad2_JP2011" xfId="2434"/>
    <cellStyle name="_markt ASL aug05_20080605 Consolidatie Businessplan v19_JP2011" xfId="2435"/>
    <cellStyle name="_markt ASL aug05_20080605 Consolidatie Businessplan v19_Model Plan 2012" xfId="2436"/>
    <cellStyle name="_markt ASL aug05_BenI" xfId="5264"/>
    <cellStyle name="_markt ASL aug05_Blad2" xfId="2437"/>
    <cellStyle name="_markt ASL aug05_Blad2 2" xfId="2438"/>
    <cellStyle name="_markt ASL aug05_Blad2_JP2011" xfId="2439"/>
    <cellStyle name="_markt ASL aug05_Fixed Data" xfId="5265"/>
    <cellStyle name="_markt ASL aug05_JP2011" xfId="2440"/>
    <cellStyle name="_markt ASL aug05_Model Plan 2012" xfId="2441"/>
    <cellStyle name="_markt ASL aug05_SWOL" xfId="5266"/>
    <cellStyle name="_MC-overzicht" xfId="365"/>
    <cellStyle name="_MC-overzicht 2" xfId="366"/>
    <cellStyle name="_MC-overzicht 3" xfId="2442"/>
    <cellStyle name="_MC-overzicht_ND5 squeeze model  whs-whs v2.21 DWDM ILL" xfId="2443"/>
    <cellStyle name="_MCTN naar ILL migratie 19-3-2004" xfId="367"/>
    <cellStyle name="_MCTN naar ILL migratie 19-3-2004 2" xfId="368"/>
    <cellStyle name="_MCTN naar ILL migratie 19-3-2004 3" xfId="2444"/>
    <cellStyle name="_MCTN naar ILL migratie 19-3-2004_ND5 squeeze model  whs-whs v2.21 DWDM ILL" xfId="2445"/>
    <cellStyle name="_ML VT 2004-09_Bijlagen Modellen 2004" xfId="2446"/>
    <cellStyle name="_ML VT 2004-09_Bijlagen Modellen 2004 2" xfId="2447"/>
    <cellStyle name="_ML VT 2004-09_Bijlagen Modellen 2004 2 2" xfId="5267"/>
    <cellStyle name="_ML VT 2004-09_Bijlagen Modellen 2004 3" xfId="5268"/>
    <cellStyle name="_ML VT 2004-09_Bijlagen Modellen 2004 3 2" xfId="5269"/>
    <cellStyle name="_ML VT 2004-09_Bijlagen Modellen 2004 4" xfId="5270"/>
    <cellStyle name="_ML VT 2004-09_Bijlagen Modellen 2004 5" xfId="5271"/>
    <cellStyle name="_ML VT 2004-09_Bijlagen Modellen 2004_FC categoraal" xfId="2448"/>
    <cellStyle name="_ML VT 2004-09_Bijlagen Modellen 2004_GDC nieuwe pfc cc jan  2011 v4" xfId="2449"/>
    <cellStyle name="_ML VT 2004-09_Bijlagen Modellen 2004_JP2011" xfId="2450"/>
    <cellStyle name="_ML VT 2004-09_Bijlagen Modellen 2004_JP2011 2" xfId="2451"/>
    <cellStyle name="_ML VT 2004-09_Bijlagen Modellen 2004_JP2011_1" xfId="2452"/>
    <cellStyle name="_ML VT 2004-09_Bijlagen Modellen 2004_Pivot" xfId="5272"/>
    <cellStyle name="_ML VT 2004-09_Bijlagen Modellen 2004_PPT Link" xfId="5273"/>
    <cellStyle name="_ML VT 2004-09_Bijlagen Modellen 2004_Preclosing" xfId="2453"/>
    <cellStyle name="_ML VT 2004-09_Bijlagen Modellen 2004_Preclosing 2" xfId="2454"/>
    <cellStyle name="_ML VT 2004-09_Bijlagen Modellen 2004_Preclosing jan11" xfId="2455"/>
    <cellStyle name="_ML VT 2004-09_Bijlagen Modellen 2004_Preclosing_1" xfId="2456"/>
    <cellStyle name="_ML VT 2004-09_Bijlagen Modellen 2004_Preclosing_2" xfId="2457"/>
    <cellStyle name="_ML VT 2004-09_Bijlagen Modellen 2004_Preclosing_3" xfId="2458"/>
    <cellStyle name="_ML VT 2004-09_Bijlagen Modellen 2004_Preclosing_FC categoraal" xfId="2459"/>
    <cellStyle name="_ML VT 2004-09_Bijlagen Modellen 2004_Sheet1" xfId="2460"/>
    <cellStyle name="_ML VT 2004-09_Bijlagen Modellen 2004_Sheet1_1" xfId="2461"/>
    <cellStyle name="_ML VT 2004-09_Bijlagen Modellen 2004_Sheet1_1 2" xfId="2462"/>
    <cellStyle name="_ML VT 2004-09_Bijlagen Modellen 2004_Sheet1_1_FC categoraal" xfId="2463"/>
    <cellStyle name="_ML VT 2004-09_Bijlagen Modellen 2004_Sheet1_2" xfId="2464"/>
    <cellStyle name="_ML VT 2004-09_Bijlagen Modellen 2004_Sheet1_2 2" xfId="2465"/>
    <cellStyle name="_ML VT 2004-09_Bijlagen Modellen 2004_Sheet2" xfId="2466"/>
    <cellStyle name="_Ml-Financials-2005-07-JEVv5" xfId="2467"/>
    <cellStyle name="_Ml-Financials-2005-07-JEVv5 2" xfId="2468"/>
    <cellStyle name="_Ml-Financials-2005-07-JEVv5 2 2" xfId="5274"/>
    <cellStyle name="_Ml-Financials-2005-07-JEVv5 3" xfId="5275"/>
    <cellStyle name="_Ml-Financials-2005-07-JEVv5 3 2" xfId="5276"/>
    <cellStyle name="_Ml-Financials-2005-07-JEVv5 4" xfId="5277"/>
    <cellStyle name="_Ml-Financials-2005-07-JEVv5 5" xfId="5278"/>
    <cellStyle name="_Ml-Financials-2005-07-JEVv5_FC categoraal" xfId="2469"/>
    <cellStyle name="_Ml-Financials-2005-07-JEVv5_GDC nieuwe pfc cc jan  2011 v4" xfId="2470"/>
    <cellStyle name="_Ml-Financials-2005-07-JEVv5_JP2011" xfId="2471"/>
    <cellStyle name="_Ml-Financials-2005-07-JEVv5_JP2011 2" xfId="2472"/>
    <cellStyle name="_Ml-Financials-2005-07-JEVv5_JP2011_1" xfId="2473"/>
    <cellStyle name="_Ml-Financials-2005-07-JEVv5_Pivot" xfId="5279"/>
    <cellStyle name="_Ml-Financials-2005-07-JEVv5_PPT Link" xfId="5280"/>
    <cellStyle name="_Ml-Financials-2005-07-JEVv5_Preclosing" xfId="2474"/>
    <cellStyle name="_Ml-Financials-2005-07-JEVv5_Preclosing 2" xfId="2475"/>
    <cellStyle name="_Ml-Financials-2005-07-JEVv5_Preclosing jan11" xfId="2476"/>
    <cellStyle name="_Ml-Financials-2005-07-JEVv5_Preclosing_1" xfId="2477"/>
    <cellStyle name="_Ml-Financials-2005-07-JEVv5_Preclosing_2" xfId="2478"/>
    <cellStyle name="_Ml-Financials-2005-07-JEVv5_Preclosing_3" xfId="2479"/>
    <cellStyle name="_Ml-Financials-2005-07-JEVv5_Preclosing_FC categoraal" xfId="2480"/>
    <cellStyle name="_Ml-Financials-2005-07-JEVv5_Sheet1" xfId="2481"/>
    <cellStyle name="_Ml-Financials-2005-07-JEVv5_Sheet1_1" xfId="2482"/>
    <cellStyle name="_Ml-Financials-2005-07-JEVv5_Sheet1_1 2" xfId="2483"/>
    <cellStyle name="_Ml-Financials-2005-07-JEVv5_Sheet1_1_FC categoraal" xfId="2484"/>
    <cellStyle name="_Ml-Financials-2005-07-JEVv5_Sheet1_2" xfId="2485"/>
    <cellStyle name="_Ml-Financials-2005-07-JEVv5_Sheet1_2 2" xfId="2486"/>
    <cellStyle name="_Ml-Financials-2005-07-JEVv5_Sheet2" xfId="2487"/>
    <cellStyle name="_Mob Voice PQ" xfId="5281"/>
    <cellStyle name="_Mob Voice PQ 2" xfId="5282"/>
    <cellStyle name="_Mob Voice PQ 2 2" xfId="5283"/>
    <cellStyle name="_Mob Voice PQ 3" xfId="5284"/>
    <cellStyle name="_Mob Voice PQ 3 2" xfId="5285"/>
    <cellStyle name="_Mob Voice PQ 4" xfId="5286"/>
    <cellStyle name="_Mob Voice PQ 5" xfId="5287"/>
    <cellStyle name="_ModellenIenMSTotaal2004" xfId="2488"/>
    <cellStyle name="_ModellenIenMSTotaal2004 2" xfId="2489"/>
    <cellStyle name="_ModellenIenMSTotaal2004 2 2" xfId="5288"/>
    <cellStyle name="_ModellenIenMSTotaal2004 3" xfId="5289"/>
    <cellStyle name="_ModellenIenMSTotaal2004 3 2" xfId="5290"/>
    <cellStyle name="_ModellenIenMSTotaal2004 4" xfId="5291"/>
    <cellStyle name="_ModellenIenMSTotaal2004 5" xfId="5292"/>
    <cellStyle name="_ModellenIenMSTotaal2004_FC categoraal" xfId="2490"/>
    <cellStyle name="_ModellenIenMSTotaal2004_GDC nieuwe pfc cc jan  2011 v4" xfId="2491"/>
    <cellStyle name="_ModellenIenMSTotaal2004_JP2011" xfId="2492"/>
    <cellStyle name="_ModellenIenMSTotaal2004_JP2011 2" xfId="2493"/>
    <cellStyle name="_ModellenIenMSTotaal2004_JP2011_1" xfId="2494"/>
    <cellStyle name="_ModellenIenMSTotaal2004_Pivot" xfId="5293"/>
    <cellStyle name="_ModellenIenMSTotaal2004_PPT Link" xfId="5294"/>
    <cellStyle name="_ModellenIenMSTotaal2004_Preclosing" xfId="2495"/>
    <cellStyle name="_ModellenIenMSTotaal2004_Preclosing 2" xfId="2496"/>
    <cellStyle name="_ModellenIenMSTotaal2004_Preclosing jan11" xfId="2497"/>
    <cellStyle name="_ModellenIenMSTotaal2004_Preclosing_1" xfId="2498"/>
    <cellStyle name="_ModellenIenMSTotaal2004_Preclosing_2" xfId="2499"/>
    <cellStyle name="_ModellenIenMSTotaal2004_Preclosing_3" xfId="2500"/>
    <cellStyle name="_ModellenIenMSTotaal2004_Preclosing_FC categoraal" xfId="2501"/>
    <cellStyle name="_ModellenIenMSTotaal2004_Sheet1" xfId="2502"/>
    <cellStyle name="_ModellenIenMSTotaal2004_Sheet1_1" xfId="2503"/>
    <cellStyle name="_ModellenIenMSTotaal2004_Sheet1_1 2" xfId="2504"/>
    <cellStyle name="_ModellenIenMSTotaal2004_Sheet1_1_FC categoraal" xfId="2505"/>
    <cellStyle name="_ModellenIenMSTotaal2004_Sheet1_2" xfId="2506"/>
    <cellStyle name="_ModellenIenMSTotaal2004_Sheet1_2 2" xfId="2507"/>
    <cellStyle name="_ModellenIenMSTotaal2004_Sheet2" xfId="2508"/>
    <cellStyle name="_MPLS Versatel berekeningen 9 feb" xfId="369"/>
    <cellStyle name="_MPLS Versatel berekeningen 9 feb 2" xfId="370"/>
    <cellStyle name="_MPLS Versatel berekeningen 9 feb 3" xfId="2509"/>
    <cellStyle name="_MPLS Versatel berekeningen 9 feb_ND5 squeeze model  whs-whs v2.21 DWDM ILL" xfId="2510"/>
    <cellStyle name="_MTA effect in BP v1 opgave KvB" xfId="5295"/>
    <cellStyle name="_MTA financiele stromen in BP v3" xfId="5296"/>
    <cellStyle name="_Multiple" xfId="5297"/>
    <cellStyle name="_Multiple 2" xfId="5298"/>
    <cellStyle name="_Multiple 2 2" xfId="5299"/>
    <cellStyle name="_Multiple 3" xfId="5300"/>
    <cellStyle name="_Multiple 3 2" xfId="5301"/>
    <cellStyle name="_Multiple 4" xfId="5302"/>
    <cellStyle name="_Multiple 5" xfId="5303"/>
    <cellStyle name="_Multiple_101018 BP Check OLS" xfId="5304"/>
    <cellStyle name="_Multiple_101018 BP Check OLS 2" xfId="5305"/>
    <cellStyle name="_Multiple_101018 BP Check OLS 2 2" xfId="5306"/>
    <cellStyle name="_Multiple_101018 BP Check OLS 3" xfId="5307"/>
    <cellStyle name="_Multiple_101018 BP Check OLS 3 2" xfId="5308"/>
    <cellStyle name="_Multiple_101018 BP Check OLS 4" xfId="5309"/>
    <cellStyle name="_Multiple_101018 BP Check OLS 5" xfId="5310"/>
    <cellStyle name="_Multiple_101018 BP Check OLS_110329 PQ Challenge Linked to Sharepoint" xfId="5311"/>
    <cellStyle name="_Multiple_101018 BP Check OLS_110329 PQ Challenge Linked to Sharepoint 2" xfId="5312"/>
    <cellStyle name="_Multiple_101018 BP Check OLS_110329 PQ Challenge Linked to Sharepoint 2 2" xfId="5313"/>
    <cellStyle name="_Multiple_101018 BP Check OLS_110329 PQ Challenge Linked to Sharepoint 3" xfId="5314"/>
    <cellStyle name="_Multiple_101018 BP Check OLS_110329 PQ Challenge Linked to Sharepoint 3 2" xfId="5315"/>
    <cellStyle name="_Multiple_101018 BP Check OLS_110329 PQ Challenge Linked to Sharepoint 4" xfId="5316"/>
    <cellStyle name="_Multiple_101018 BP Check OLS_110329 PQ Challenge Linked to Sharepoint 5" xfId="5317"/>
    <cellStyle name="_Multiple_101018 BP Check OLS_110413 Outlook ZM Linked to Sharepoint" xfId="5318"/>
    <cellStyle name="_Multiple_101018 BP Check OLS_110413 Outlook ZM Linked to Sharepoint 2" xfId="5319"/>
    <cellStyle name="_Multiple_101018 BP Check OLS_110413 Outlook ZM Linked to Sharepoint 2 2" xfId="5320"/>
    <cellStyle name="_Multiple_101018 BP Check OLS_110413 Outlook ZM Linked to Sharepoint 3" xfId="5321"/>
    <cellStyle name="_Multiple_101018 BP Check OLS_110413 Outlook ZM Linked to Sharepoint 3 2" xfId="5322"/>
    <cellStyle name="_Multiple_101018 BP Check OLS_110413 Outlook ZM Linked to Sharepoint 4" xfId="5323"/>
    <cellStyle name="_Multiple_101018 BP Check OLS_110413 Outlook ZM Linked to Sharepoint 5" xfId="5324"/>
    <cellStyle name="_Multiple_110329 PQ Challenge Linked to Sharepoint" xfId="5325"/>
    <cellStyle name="_Multiple_110329 PQ Challenge Linked to Sharepoint 2" xfId="5326"/>
    <cellStyle name="_Multiple_110329 PQ Challenge Linked to Sharepoint 2 2" xfId="5327"/>
    <cellStyle name="_Multiple_110329 PQ Challenge Linked to Sharepoint 3" xfId="5328"/>
    <cellStyle name="_Multiple_110329 PQ Challenge Linked to Sharepoint 3 2" xfId="5329"/>
    <cellStyle name="_Multiple_110329 PQ Challenge Linked to Sharepoint 4" xfId="5330"/>
    <cellStyle name="_Multiple_110329 PQ Challenge Linked to Sharepoint 5" xfId="5331"/>
    <cellStyle name="_Multiple_110413 Outlook ZM Linked to Sharepoint" xfId="5332"/>
    <cellStyle name="_Multiple_110413 Outlook ZM Linked to Sharepoint 2" xfId="5333"/>
    <cellStyle name="_Multiple_110413 Outlook ZM Linked to Sharepoint 2 2" xfId="5334"/>
    <cellStyle name="_Multiple_110413 Outlook ZM Linked to Sharepoint 3" xfId="5335"/>
    <cellStyle name="_Multiple_110413 Outlook ZM Linked to Sharepoint 3 2" xfId="5336"/>
    <cellStyle name="_Multiple_110413 Outlook ZM Linked to Sharepoint 4" xfId="5337"/>
    <cellStyle name="_Multiple_110413 Outlook ZM Linked to Sharepoint 5" xfId="5338"/>
    <cellStyle name="_Multiple_ICT" xfId="5339"/>
    <cellStyle name="_Multiple_NewRef10" xfId="5340"/>
    <cellStyle name="_Multiple_NewRef10 2" xfId="5341"/>
    <cellStyle name="_Multiple_NewRef10 2 2" xfId="5342"/>
    <cellStyle name="_Multiple_NewRef10 3" xfId="5343"/>
    <cellStyle name="_Multiple_NewRef10 3 2" xfId="5344"/>
    <cellStyle name="_Multiple_NewRef10 4" xfId="5345"/>
    <cellStyle name="_Multiple_NewRef10 5" xfId="5346"/>
    <cellStyle name="_Multiple_NewRef10_110329 PQ Challenge Linked to Sharepoint" xfId="5347"/>
    <cellStyle name="_Multiple_NewRef10_110329 PQ Challenge Linked to Sharepoint 2" xfId="5348"/>
    <cellStyle name="_Multiple_NewRef10_110329 PQ Challenge Linked to Sharepoint 2 2" xfId="5349"/>
    <cellStyle name="_Multiple_NewRef10_110329 PQ Challenge Linked to Sharepoint 3" xfId="5350"/>
    <cellStyle name="_Multiple_NewRef10_110329 PQ Challenge Linked to Sharepoint 3 2" xfId="5351"/>
    <cellStyle name="_Multiple_NewRef10_110329 PQ Challenge Linked to Sharepoint 4" xfId="5352"/>
    <cellStyle name="_Multiple_NewRef10_110329 PQ Challenge Linked to Sharepoint 5" xfId="5353"/>
    <cellStyle name="_Multiple_NewRef10_110413 Outlook ZM Linked to Sharepoint" xfId="5354"/>
    <cellStyle name="_Multiple_NewRef10_110413 Outlook ZM Linked to Sharepoint 2" xfId="5355"/>
    <cellStyle name="_Multiple_NewRef10_110413 Outlook ZM Linked to Sharepoint 2 2" xfId="5356"/>
    <cellStyle name="_Multiple_NewRef10_110413 Outlook ZM Linked to Sharepoint 3" xfId="5357"/>
    <cellStyle name="_Multiple_NewRef10_110413 Outlook ZM Linked to Sharepoint 3 2" xfId="5358"/>
    <cellStyle name="_Multiple_NewRef10_110413 Outlook ZM Linked to Sharepoint 4" xfId="5359"/>
    <cellStyle name="_Multiple_NewRef10_110413 Outlook ZM Linked to Sharepoint 5" xfId="5360"/>
    <cellStyle name="_Multiple_NewRef10_ICT" xfId="5361"/>
    <cellStyle name="_Multiple_NewRef10_NL Spec Staf _ ICT" xfId="5362"/>
    <cellStyle name="_Multiple_NewRef10_Trendanalyse 2009-2013 (MASTER met links naar SharePoint input) - 2011 structuur" xfId="5363"/>
    <cellStyle name="_Multiple_NL Spec Staf _ ICT" xfId="5364"/>
    <cellStyle name="_Multiple_Trendanalyse 2009-2013 (MASTER met links naar SharePoint input) - 2011 structuur" xfId="5365"/>
    <cellStyle name="_MultipleSpace" xfId="5366"/>
    <cellStyle name="_MultipleSpace 2" xfId="5367"/>
    <cellStyle name="_MultipleSpace 2 2" xfId="5368"/>
    <cellStyle name="_MultipleSpace 3" xfId="5369"/>
    <cellStyle name="_MultipleSpace 3 2" xfId="5370"/>
    <cellStyle name="_MultipleSpace 4" xfId="5371"/>
    <cellStyle name="_MultipleSpace 5" xfId="5372"/>
    <cellStyle name="_MultipleSpace_101018 BP Check OLS" xfId="5373"/>
    <cellStyle name="_MultipleSpace_101018 BP Check OLS 2" xfId="5374"/>
    <cellStyle name="_MultipleSpace_101018 BP Check OLS 2 2" xfId="5375"/>
    <cellStyle name="_MultipleSpace_101018 BP Check OLS 3" xfId="5376"/>
    <cellStyle name="_MultipleSpace_101018 BP Check OLS 3 2" xfId="5377"/>
    <cellStyle name="_MultipleSpace_101018 BP Check OLS 4" xfId="5378"/>
    <cellStyle name="_MultipleSpace_101018 BP Check OLS 5" xfId="5379"/>
    <cellStyle name="_MultipleSpace_101018 BP Check OLS_110329 PQ Challenge Linked to Sharepoint" xfId="5380"/>
    <cellStyle name="_MultipleSpace_101018 BP Check OLS_110329 PQ Challenge Linked to Sharepoint 2" xfId="5381"/>
    <cellStyle name="_MultipleSpace_101018 BP Check OLS_110329 PQ Challenge Linked to Sharepoint 2 2" xfId="5382"/>
    <cellStyle name="_MultipleSpace_101018 BP Check OLS_110329 PQ Challenge Linked to Sharepoint 3" xfId="5383"/>
    <cellStyle name="_MultipleSpace_101018 BP Check OLS_110329 PQ Challenge Linked to Sharepoint 3 2" xfId="5384"/>
    <cellStyle name="_MultipleSpace_101018 BP Check OLS_110329 PQ Challenge Linked to Sharepoint 4" xfId="5385"/>
    <cellStyle name="_MultipleSpace_101018 BP Check OLS_110329 PQ Challenge Linked to Sharepoint 5" xfId="5386"/>
    <cellStyle name="_MultipleSpace_101018 BP Check OLS_110413 Outlook ZM Linked to Sharepoint" xfId="5387"/>
    <cellStyle name="_MultipleSpace_101018 BP Check OLS_110413 Outlook ZM Linked to Sharepoint 2" xfId="5388"/>
    <cellStyle name="_MultipleSpace_101018 BP Check OLS_110413 Outlook ZM Linked to Sharepoint 2 2" xfId="5389"/>
    <cellStyle name="_MultipleSpace_101018 BP Check OLS_110413 Outlook ZM Linked to Sharepoint 3" xfId="5390"/>
    <cellStyle name="_MultipleSpace_101018 BP Check OLS_110413 Outlook ZM Linked to Sharepoint 3 2" xfId="5391"/>
    <cellStyle name="_MultipleSpace_101018 BP Check OLS_110413 Outlook ZM Linked to Sharepoint 4" xfId="5392"/>
    <cellStyle name="_MultipleSpace_101018 BP Check OLS_110413 Outlook ZM Linked to Sharepoint 5" xfId="5393"/>
    <cellStyle name="_MultipleSpace_110329 PQ Challenge Linked to Sharepoint" xfId="5394"/>
    <cellStyle name="_MultipleSpace_110329 PQ Challenge Linked to Sharepoint 2" xfId="5395"/>
    <cellStyle name="_MultipleSpace_110329 PQ Challenge Linked to Sharepoint 2 2" xfId="5396"/>
    <cellStyle name="_MultipleSpace_110329 PQ Challenge Linked to Sharepoint 3" xfId="5397"/>
    <cellStyle name="_MultipleSpace_110329 PQ Challenge Linked to Sharepoint 3 2" xfId="5398"/>
    <cellStyle name="_MultipleSpace_110329 PQ Challenge Linked to Sharepoint 4" xfId="5399"/>
    <cellStyle name="_MultipleSpace_110329 PQ Challenge Linked to Sharepoint 5" xfId="5400"/>
    <cellStyle name="_MultipleSpace_110413 Outlook ZM Linked to Sharepoint" xfId="5401"/>
    <cellStyle name="_MultipleSpace_110413 Outlook ZM Linked to Sharepoint 2" xfId="5402"/>
    <cellStyle name="_MultipleSpace_110413 Outlook ZM Linked to Sharepoint 2 2" xfId="5403"/>
    <cellStyle name="_MultipleSpace_110413 Outlook ZM Linked to Sharepoint 3" xfId="5404"/>
    <cellStyle name="_MultipleSpace_110413 Outlook ZM Linked to Sharepoint 3 2" xfId="5405"/>
    <cellStyle name="_MultipleSpace_110413 Outlook ZM Linked to Sharepoint 4" xfId="5406"/>
    <cellStyle name="_MultipleSpace_110413 Outlook ZM Linked to Sharepoint 5" xfId="5407"/>
    <cellStyle name="_MultipleSpace_ICT" xfId="5408"/>
    <cellStyle name="_MultipleSpace_NewRef10" xfId="5409"/>
    <cellStyle name="_MultipleSpace_NewRef10 2" xfId="5410"/>
    <cellStyle name="_MultipleSpace_NewRef10 2 2" xfId="5411"/>
    <cellStyle name="_MultipleSpace_NewRef10 3" xfId="5412"/>
    <cellStyle name="_MultipleSpace_NewRef10 3 2" xfId="5413"/>
    <cellStyle name="_MultipleSpace_NewRef10 4" xfId="5414"/>
    <cellStyle name="_MultipleSpace_NewRef10 5" xfId="5415"/>
    <cellStyle name="_MultipleSpace_NewRef10_110329 PQ Challenge Linked to Sharepoint" xfId="5416"/>
    <cellStyle name="_MultipleSpace_NewRef10_110329 PQ Challenge Linked to Sharepoint 2" xfId="5417"/>
    <cellStyle name="_MultipleSpace_NewRef10_110329 PQ Challenge Linked to Sharepoint 2 2" xfId="5418"/>
    <cellStyle name="_MultipleSpace_NewRef10_110329 PQ Challenge Linked to Sharepoint 3" xfId="5419"/>
    <cellStyle name="_MultipleSpace_NewRef10_110329 PQ Challenge Linked to Sharepoint 3 2" xfId="5420"/>
    <cellStyle name="_MultipleSpace_NewRef10_110329 PQ Challenge Linked to Sharepoint 4" xfId="5421"/>
    <cellStyle name="_MultipleSpace_NewRef10_110329 PQ Challenge Linked to Sharepoint 5" xfId="5422"/>
    <cellStyle name="_MultipleSpace_NewRef10_110413 Outlook ZM Linked to Sharepoint" xfId="5423"/>
    <cellStyle name="_MultipleSpace_NewRef10_110413 Outlook ZM Linked to Sharepoint 2" xfId="5424"/>
    <cellStyle name="_MultipleSpace_NewRef10_110413 Outlook ZM Linked to Sharepoint 2 2" xfId="5425"/>
    <cellStyle name="_MultipleSpace_NewRef10_110413 Outlook ZM Linked to Sharepoint 3" xfId="5426"/>
    <cellStyle name="_MultipleSpace_NewRef10_110413 Outlook ZM Linked to Sharepoint 3 2" xfId="5427"/>
    <cellStyle name="_MultipleSpace_NewRef10_110413 Outlook ZM Linked to Sharepoint 4" xfId="5428"/>
    <cellStyle name="_MultipleSpace_NewRef10_110413 Outlook ZM Linked to Sharepoint 5" xfId="5429"/>
    <cellStyle name="_MultipleSpace_NewRef10_ICT" xfId="5430"/>
    <cellStyle name="_MultipleSpace_NewRef10_NL Spec Staf _ ICT" xfId="5431"/>
    <cellStyle name="_MultipleSpace_NewRef10_Trendanalyse 2009-2013 (MASTER met links naar SharePoint input) - 2011 structuur" xfId="5432"/>
    <cellStyle name="_MultipleSpace_NL Spec Staf _ ICT" xfId="5433"/>
    <cellStyle name="_MultipleSpace_Trendanalyse 2009-2013 (MASTER met links naar SharePoint input) - 2011 structuur" xfId="5434"/>
    <cellStyle name="_NCB Formulier v100809" xfId="5435"/>
    <cellStyle name="_NCB Formulier v100809 2" xfId="5436"/>
    <cellStyle name="_NCB Formulier v100809 2 2" xfId="5437"/>
    <cellStyle name="_NCB Formulier v100809 3" xfId="5438"/>
    <cellStyle name="_NCB Formulier v100809 3 2" xfId="5439"/>
    <cellStyle name="_NCB Formulier v100809 4" xfId="5440"/>
    <cellStyle name="_NCB Formulier v100809 5" xfId="5441"/>
    <cellStyle name="_NCV issues v014" xfId="2511"/>
    <cellStyle name="_NewRef10" xfId="5442"/>
    <cellStyle name="_NewRef10 2" xfId="5443"/>
    <cellStyle name="_NewRef10 2 2" xfId="5444"/>
    <cellStyle name="_NewRef10 3" xfId="5445"/>
    <cellStyle name="_NewRef10 3 2" xfId="5446"/>
    <cellStyle name="_NewRef10 4" xfId="5447"/>
    <cellStyle name="_NewRef10 5" xfId="5448"/>
    <cellStyle name="_Nieuw en traditioneel BP07-09" xfId="2512"/>
    <cellStyle name="_NP- SP epacity-IAS-M-core" xfId="371"/>
    <cellStyle name="_NP- SP epacity-IAS-M-core_LPM PL 20101014 Concept" xfId="2513"/>
    <cellStyle name="_NP- SP epacity-IAS-M-core_LPM PL 20101028 obv LRIC inkoop" xfId="2514"/>
    <cellStyle name="_NP- SP epacity-IAS-M-core_Menucard_Staff_Master_2010-09-12" xfId="2515"/>
    <cellStyle name="_NP- SP epacity-IAS-M-core_ND5 squeeze model  whs-whs v2.21 DWDM ILL" xfId="2516"/>
    <cellStyle name="_NPV kpn v30" xfId="5449"/>
    <cellStyle name="_NPV kpn v30 2" xfId="5450"/>
    <cellStyle name="_NPV kpn v30 2 2" xfId="5451"/>
    <cellStyle name="_NPV kpn v30 3" xfId="5452"/>
    <cellStyle name="_NPV kpn v30 3 2" xfId="5453"/>
    <cellStyle name="_NPV kpn v30 4" xfId="5454"/>
    <cellStyle name="_NPV kpn v30 5" xfId="5455"/>
    <cellStyle name="_NPV kpn v32" xfId="5456"/>
    <cellStyle name="_NPV kpn v32 2" xfId="5457"/>
    <cellStyle name="_NPV kpn v32 2 2" xfId="5458"/>
    <cellStyle name="_NPV kpn v32 3" xfId="5459"/>
    <cellStyle name="_NPV kpn v32 3 2" xfId="5460"/>
    <cellStyle name="_NPV kpn v32 4" xfId="5461"/>
    <cellStyle name="_NPV kpn v32 5" xfId="5462"/>
    <cellStyle name="_NS INS Business case 2007-07-12" xfId="372"/>
    <cellStyle name="_NS INS Business case 2007-07-12 2" xfId="2517"/>
    <cellStyle name="_NS INS Business case 2007-07-12 2 2" xfId="2518"/>
    <cellStyle name="_NS klanten 20070927" xfId="2519"/>
    <cellStyle name="_Off-net verkeer2" xfId="373"/>
    <cellStyle name="_Off-net verkeer2 2" xfId="2520"/>
    <cellStyle name="_Off-net verkeer2 2 2" xfId="2521"/>
    <cellStyle name="_OIT Model Data 8-12-2010" xfId="5463"/>
    <cellStyle name="_Omzet Per Propositie juli 2008" xfId="5464"/>
    <cellStyle name="_Omzet Per Propositie juli 2008 2" xfId="5465"/>
    <cellStyle name="_Omzet Per Propositie juli 2008 2 2" xfId="5466"/>
    <cellStyle name="_Omzet Per Propositie juli 2008 3" xfId="5467"/>
    <cellStyle name="_Omzet Per Propositie juli 2008 3 2" xfId="5468"/>
    <cellStyle name="_Omzet Per Propositie juli 2008 4" xfId="5469"/>
    <cellStyle name="_Omzet Per Propositie juli 2008 5" xfId="5470"/>
    <cellStyle name="_Omzet Per Propositie juli 2008_110810_Overzicht_Orderintake" xfId="5471"/>
    <cellStyle name="_Omzet Per Propositie juli 2008_BenI" xfId="5472"/>
    <cellStyle name="_Omzet Per Propositie juli 2008_Fixed Data" xfId="5473"/>
    <cellStyle name="_Omzet Per Propositie juli 2008_SWOL" xfId="5474"/>
    <cellStyle name="_omzetbreakdown jan 2004" xfId="374"/>
    <cellStyle name="_omzetbreakdown jan 2004 2" xfId="2522"/>
    <cellStyle name="_omzetbreakdown jan 2004 2 2" xfId="2523"/>
    <cellStyle name="_omzetbreakdown mrt 2004" xfId="5475"/>
    <cellStyle name="_omzetbreakdown mrt 2004 2" xfId="5476"/>
    <cellStyle name="_Omzetrapportage KPN December (hard) versie 16" xfId="5477"/>
    <cellStyle name="_Omzetrapportage KPN December (hard) versie 16 2" xfId="5478"/>
    <cellStyle name="_Omzetrapportage KPN December (hard) versie 16 2 2" xfId="5479"/>
    <cellStyle name="_Omzetrapportage KPN December (hard) versie 16 3" xfId="5480"/>
    <cellStyle name="_Omzetrapportage KPN December (hard) versie 16 3 2" xfId="5481"/>
    <cellStyle name="_Omzetrapportage KPN December (hard) versie 16 4" xfId="5482"/>
    <cellStyle name="_Omzetrapportage KPN December (hard) versie 16 5" xfId="5483"/>
    <cellStyle name="_Onderbouwing OHW obv Transacties en PA Rapp Q1 2007" xfId="5484"/>
    <cellStyle name="_Onderbouwing OHW obv Transacties en PA Rapp Q1 2007 2" xfId="5485"/>
    <cellStyle name="_Onderbouwing OHW obv Transacties en PA Rapp Q1 2007 2 2" xfId="5486"/>
    <cellStyle name="_Onderbouwing OHW obv Transacties en PA Rapp Q1 2007 3" xfId="5487"/>
    <cellStyle name="_Onderbouwing OHW obv Transacties en PA Rapp Q1 2007 3 2" xfId="5488"/>
    <cellStyle name="_Onderbouwing OHW obv Transacties en PA Rapp Q1 2007 4" xfId="5489"/>
    <cellStyle name="_Onderbouwing OHW obv Transacties en PA Rapp Q1 2007 5" xfId="5490"/>
    <cellStyle name="_Onderbouwing OHW RE 323" xfId="5491"/>
    <cellStyle name="_Onderbouwing OHW RE 323 2" xfId="5492"/>
    <cellStyle name="_Onderbouwing OHW RE 323 2 2" xfId="5493"/>
    <cellStyle name="_Onderbouwing OHW RE 323 3" xfId="5494"/>
    <cellStyle name="_Onderbouwing OHW RE 323 3 2" xfId="5495"/>
    <cellStyle name="_Onderbouwing OHW RE 323 4" xfId="5496"/>
    <cellStyle name="_Onderbouwing OHW RE 323 5" xfId="5497"/>
    <cellStyle name="_Onderbouwing OHW RE 323 Mei 2007" xfId="5498"/>
    <cellStyle name="_Onderbouwing OHW RE 323 Mei 2007 2" xfId="5499"/>
    <cellStyle name="_Onderbouwing OHW RE 323 Mei 2007 2 2" xfId="5500"/>
    <cellStyle name="_Onderbouwing OHW RE 323 Mei 2007 3" xfId="5501"/>
    <cellStyle name="_Onderbouwing OHW RE 323 Mei 2007 3 2" xfId="5502"/>
    <cellStyle name="_Onderbouwing OHW RE 323 Mei 2007 4" xfId="5503"/>
    <cellStyle name="_Onderbouwing OHW RE 323 Mei 2007 5" xfId="5504"/>
    <cellStyle name="_onderbouwing trans sept 49122 4-10" xfId="5505"/>
    <cellStyle name="_One Businessplan - short (20070705) - Ingeleverd" xfId="2524"/>
    <cellStyle name="_One Businessplan - short (20070705) - Ingeleverd 2" xfId="2525"/>
    <cellStyle name="_One Businessplan - short (20070705) - Ingeleverd 2 2" xfId="5506"/>
    <cellStyle name="_One Businessplan - short (20070705) - Ingeleverd 3" xfId="5507"/>
    <cellStyle name="_One Businessplan - short (20070705) - Ingeleverd 3 2" xfId="5508"/>
    <cellStyle name="_One Businessplan - short (20070705) - Ingeleverd 4" xfId="5509"/>
    <cellStyle name="_One Businessplan - short (20070705) - Ingeleverd 5" xfId="5510"/>
    <cellStyle name="_One Businessplan - short (20070705) - Ingeleverd_Blad2" xfId="2526"/>
    <cellStyle name="_One Businessplan - short (20070705) - Ingeleverd_Blad2 2" xfId="2527"/>
    <cellStyle name="_One Businessplan - short (20070705) - Ingeleverd_Blad2_JP2011" xfId="2528"/>
    <cellStyle name="_One Businessplan - short (20070705) - Ingeleverd_JP2011" xfId="2529"/>
    <cellStyle name="_One Businessplan - short (20070705) - Ingeleverd_Model Plan 2012" xfId="2530"/>
    <cellStyle name="_One klanten (doc v2.3)" xfId="2531"/>
    <cellStyle name="_One Release 5.0 Office Access Pricing (doc 1.1)" xfId="2532"/>
    <cellStyle name="_onp-012 inkoopkosten jwh mobiel en 0676 gegevens 2001" xfId="375"/>
    <cellStyle name="_onp-012 inkoopkosten jwh mobiel en 0676 gegevens 2001 2" xfId="2533"/>
    <cellStyle name="_onp-012 inkoopkosten jwh mobiel en 0676 gegevens 2001 2 2" xfId="2534"/>
    <cellStyle name="_Op_to_fist_TR_IP_projecten van Opex naar Capex" xfId="5511"/>
    <cellStyle name="_Op_to_fist_TR_project H52002 van W&amp;O SO" xfId="5512"/>
    <cellStyle name="_Op_to_fist_TR_projecten 49122_bkmnd09" xfId="5513"/>
    <cellStyle name="_Op_to_fist_TR_projecten 49122_boekmnd09_2" xfId="5514"/>
    <cellStyle name="_OPEX LOCAL LOOP afdelingen 2004 versie 16" xfId="376"/>
    <cellStyle name="_OPEX LOCAL LOOP afdelingen 2004 versie 16 2" xfId="377"/>
    <cellStyle name="_OPEX LOCAL LOOP afdelingen 2004 versie 16 2 2" xfId="2535"/>
    <cellStyle name="_OPEX LOCAL LOOP afdelingen 2004 versie 16 3" xfId="2536"/>
    <cellStyle name="_OPEX LOCAL LOOP afdelingen 2004 versie 16 3 2" xfId="5515"/>
    <cellStyle name="_OPEX LOCAL LOOP afdelingen 2004 versie 16 4" xfId="5516"/>
    <cellStyle name="_OPEX LOCAL LOOP afdelingen 2004 versie 16 5" xfId="5517"/>
    <cellStyle name="_OPEX LOCAL LOOP afdelingen 2004 versie 16_Blad2" xfId="2537"/>
    <cellStyle name="_OPEX LOCAL LOOP afdelingen 2004 versie 16_Blad2 2" xfId="2538"/>
    <cellStyle name="_OPEX LOCAL LOOP afdelingen 2004 versie 16_Blad2_JP2011" xfId="2539"/>
    <cellStyle name="_OPEX LOCAL LOOP afdelingen 2004 versie 16_EVPN Model_20102601_v0.1" xfId="378"/>
    <cellStyle name="_OPEX LOCAL LOOP afdelingen 2004 versie 16_JP2011" xfId="2540"/>
    <cellStyle name="_OPEX LOCAL LOOP afdelingen 2004 versie 16_KWT IS Data 2010-10-07" xfId="2541"/>
    <cellStyle name="_OPEX LOCAL LOOP afdelingen 2004 versie 16_Model Plan 2012" xfId="2542"/>
    <cellStyle name="_OPEX LOCAL LOOP afdelingen 2004 versie 16_ND5 squeeze model  whs-whs v2.21 DWDM ILL" xfId="2543"/>
    <cellStyle name="_OPEX LOCAL LOOP afdelingen 2004 versie 16_ZM IS Data Tarievenboek 2010-03-11" xfId="379"/>
    <cellStyle name="_OPTA rapportage CM090701tot" xfId="380"/>
    <cellStyle name="_OPTA rapportage CM091001tot" xfId="381"/>
    <cellStyle name="_OPTA rapportage CM091014tot" xfId="382"/>
    <cellStyle name="_Opzet Jaarplan 2005" xfId="383"/>
    <cellStyle name="_Opzet Jaarplan 2005_LPM PL 20101014 Concept" xfId="2544"/>
    <cellStyle name="_Opzet Jaarplan 2005_LPM PL 20101028 obv LRIC inkoop" xfId="2545"/>
    <cellStyle name="_Opzet Jaarplan 2005_ND5 squeeze model  whs-whs v2.21 DWDM ILL" xfId="2546"/>
    <cellStyle name="_Oud KPN_HetNet_Planetportfolio OPTA" xfId="384"/>
    <cellStyle name="_Oud Nieuw 050921" xfId="5518"/>
    <cellStyle name="_Oud Nieuw historie" xfId="2547"/>
    <cellStyle name="_Oud Nieuw historie 2" xfId="2548"/>
    <cellStyle name="_Oud Nieuw historie 2 2" xfId="5519"/>
    <cellStyle name="_Oud Nieuw historie 3" xfId="5520"/>
    <cellStyle name="_Oud Nieuw historie 3 2" xfId="5521"/>
    <cellStyle name="_Oud Nieuw historie 4" xfId="5522"/>
    <cellStyle name="_Oud Nieuw historie 5" xfId="5523"/>
    <cellStyle name="_Oud Nieuw historie_Blad2" xfId="2549"/>
    <cellStyle name="_Oud Nieuw historie_Blad2 2" xfId="2550"/>
    <cellStyle name="_Oud Nieuw historie_Blad2_JP2011" xfId="2551"/>
    <cellStyle name="_Oud Nieuw historie_JP2011" xfId="2552"/>
    <cellStyle name="_Oud Nieuw historie_Model Plan 2012" xfId="2553"/>
    <cellStyle name="_Outlook excel achter maatregelen 27 juni" xfId="5524"/>
    <cellStyle name="_Overall BP 06-07-08 Rolf (V0.51)1" xfId="385"/>
    <cellStyle name="_overig opbr intern BP 2005" xfId="386"/>
    <cellStyle name="_overig opbr intern BP 2005 2" xfId="2554"/>
    <cellStyle name="_Overige invoer" xfId="2555"/>
    <cellStyle name="_Overzicht FTE Targets_budget_19-02" xfId="2556"/>
    <cellStyle name="_Overzicht kosten CPS mutatietarief" xfId="387"/>
    <cellStyle name="_Overzicht Mobiel" xfId="5525"/>
    <cellStyle name="_PAC CM PAC Programma's 2009 2 mrt 2009" xfId="5526"/>
    <cellStyle name="_PAC CM Verwachte Realisatie en Gerealiseerde Realisatie 2007 (4)" xfId="5527"/>
    <cellStyle name="_Page 4" xfId="5528"/>
    <cellStyle name="_Paul Top down omzetmodel uitvr LME" xfId="2557"/>
    <cellStyle name="_PC_CC naam aanpassen" xfId="2558"/>
    <cellStyle name="_PC_CC naam aanpassen_GDC nieuwe pfc cc jan  2011 v4" xfId="2559"/>
    <cellStyle name="_Percent" xfId="5529"/>
    <cellStyle name="_Percent 2" xfId="5530"/>
    <cellStyle name="_Percent 2 2" xfId="5531"/>
    <cellStyle name="_Percent 3" xfId="5532"/>
    <cellStyle name="_Percent 3 2" xfId="5533"/>
    <cellStyle name="_Percent 4" xfId="5534"/>
    <cellStyle name="_Percent 5" xfId="5535"/>
    <cellStyle name="_Percent_101018 BP Check OLS" xfId="5536"/>
    <cellStyle name="_Percent_101018 BP Check OLS 2" xfId="5537"/>
    <cellStyle name="_Percent_101018 BP Check OLS 2 2" xfId="5538"/>
    <cellStyle name="_Percent_101018 BP Check OLS 3" xfId="5539"/>
    <cellStyle name="_Percent_101018 BP Check OLS 3 2" xfId="5540"/>
    <cellStyle name="_Percent_101018 BP Check OLS 4" xfId="5541"/>
    <cellStyle name="_Percent_101018 BP Check OLS 5" xfId="5542"/>
    <cellStyle name="_Percent_101018 BP Check OLS_110329 PQ Challenge Linked to Sharepoint" xfId="5543"/>
    <cellStyle name="_Percent_101018 BP Check OLS_110329 PQ Challenge Linked to Sharepoint 2" xfId="5544"/>
    <cellStyle name="_Percent_101018 BP Check OLS_110329 PQ Challenge Linked to Sharepoint 2 2" xfId="5545"/>
    <cellStyle name="_Percent_101018 BP Check OLS_110329 PQ Challenge Linked to Sharepoint 3" xfId="5546"/>
    <cellStyle name="_Percent_101018 BP Check OLS_110329 PQ Challenge Linked to Sharepoint 3 2" xfId="5547"/>
    <cellStyle name="_Percent_101018 BP Check OLS_110329 PQ Challenge Linked to Sharepoint 4" xfId="5548"/>
    <cellStyle name="_Percent_101018 BP Check OLS_110329 PQ Challenge Linked to Sharepoint 5" xfId="5549"/>
    <cellStyle name="_Percent_101018 BP Check OLS_110413 Outlook ZM Linked to Sharepoint" xfId="5550"/>
    <cellStyle name="_Percent_101018 BP Check OLS_110413 Outlook ZM Linked to Sharepoint 2" xfId="5551"/>
    <cellStyle name="_Percent_101018 BP Check OLS_110413 Outlook ZM Linked to Sharepoint 2 2" xfId="5552"/>
    <cellStyle name="_Percent_101018 BP Check OLS_110413 Outlook ZM Linked to Sharepoint 3" xfId="5553"/>
    <cellStyle name="_Percent_101018 BP Check OLS_110413 Outlook ZM Linked to Sharepoint 3 2" xfId="5554"/>
    <cellStyle name="_Percent_101018 BP Check OLS_110413 Outlook ZM Linked to Sharepoint 4" xfId="5555"/>
    <cellStyle name="_Percent_101018 BP Check OLS_110413 Outlook ZM Linked to Sharepoint 5" xfId="5556"/>
    <cellStyle name="_Percent_110329 PQ Challenge Linked to Sharepoint" xfId="5557"/>
    <cellStyle name="_Percent_110329 PQ Challenge Linked to Sharepoint 2" xfId="5558"/>
    <cellStyle name="_Percent_110329 PQ Challenge Linked to Sharepoint 2 2" xfId="5559"/>
    <cellStyle name="_Percent_110329 PQ Challenge Linked to Sharepoint 3" xfId="5560"/>
    <cellStyle name="_Percent_110329 PQ Challenge Linked to Sharepoint 3 2" xfId="5561"/>
    <cellStyle name="_Percent_110329 PQ Challenge Linked to Sharepoint 4" xfId="5562"/>
    <cellStyle name="_Percent_110329 PQ Challenge Linked to Sharepoint 5" xfId="5563"/>
    <cellStyle name="_Percent_110413 Outlook ZM Linked to Sharepoint" xfId="5564"/>
    <cellStyle name="_Percent_110413 Outlook ZM Linked to Sharepoint 2" xfId="5565"/>
    <cellStyle name="_Percent_110413 Outlook ZM Linked to Sharepoint 2 2" xfId="5566"/>
    <cellStyle name="_Percent_110413 Outlook ZM Linked to Sharepoint 3" xfId="5567"/>
    <cellStyle name="_Percent_110413 Outlook ZM Linked to Sharepoint 3 2" xfId="5568"/>
    <cellStyle name="_Percent_110413 Outlook ZM Linked to Sharepoint 4" xfId="5569"/>
    <cellStyle name="_Percent_110413 Outlook ZM Linked to Sharepoint 5" xfId="5570"/>
    <cellStyle name="_Percent_ICT" xfId="5571"/>
    <cellStyle name="_Percent_NewRef10" xfId="5572"/>
    <cellStyle name="_Percent_NewRef10 2" xfId="5573"/>
    <cellStyle name="_Percent_NewRef10 2 2" xfId="5574"/>
    <cellStyle name="_Percent_NewRef10 3" xfId="5575"/>
    <cellStyle name="_Percent_NewRef10 3 2" xfId="5576"/>
    <cellStyle name="_Percent_NewRef10 4" xfId="5577"/>
    <cellStyle name="_Percent_NewRef10 5" xfId="5578"/>
    <cellStyle name="_Percent_NewRef10_110329 PQ Challenge Linked to Sharepoint" xfId="5579"/>
    <cellStyle name="_Percent_NewRef10_110329 PQ Challenge Linked to Sharepoint 2" xfId="5580"/>
    <cellStyle name="_Percent_NewRef10_110329 PQ Challenge Linked to Sharepoint 2 2" xfId="5581"/>
    <cellStyle name="_Percent_NewRef10_110329 PQ Challenge Linked to Sharepoint 3" xfId="5582"/>
    <cellStyle name="_Percent_NewRef10_110329 PQ Challenge Linked to Sharepoint 3 2" xfId="5583"/>
    <cellStyle name="_Percent_NewRef10_110329 PQ Challenge Linked to Sharepoint 4" xfId="5584"/>
    <cellStyle name="_Percent_NewRef10_110329 PQ Challenge Linked to Sharepoint 5" xfId="5585"/>
    <cellStyle name="_Percent_NewRef10_110413 Outlook ZM Linked to Sharepoint" xfId="5586"/>
    <cellStyle name="_Percent_NewRef10_110413 Outlook ZM Linked to Sharepoint 2" xfId="5587"/>
    <cellStyle name="_Percent_NewRef10_110413 Outlook ZM Linked to Sharepoint 2 2" xfId="5588"/>
    <cellStyle name="_Percent_NewRef10_110413 Outlook ZM Linked to Sharepoint 3" xfId="5589"/>
    <cellStyle name="_Percent_NewRef10_110413 Outlook ZM Linked to Sharepoint 3 2" xfId="5590"/>
    <cellStyle name="_Percent_NewRef10_110413 Outlook ZM Linked to Sharepoint 4" xfId="5591"/>
    <cellStyle name="_Percent_NewRef10_110413 Outlook ZM Linked to Sharepoint 5" xfId="5592"/>
    <cellStyle name="_Percent_NewRef10_ICT" xfId="5593"/>
    <cellStyle name="_Percent_NewRef10_NL Spec Staf _ ICT" xfId="5594"/>
    <cellStyle name="_Percent_NewRef10_Trendanalyse 2009-2013 (MASTER met links naar SharePoint input) - 2011 structuur" xfId="5595"/>
    <cellStyle name="_Percent_NL Spec Staf _ ICT" xfId="5596"/>
    <cellStyle name="_Percent_Trendanalyse 2009-2013 (MASTER met links naar SharePoint input) - 2011 structuur" xfId="5597"/>
    <cellStyle name="_PercentSpace" xfId="5598"/>
    <cellStyle name="_PercentSpace 2" xfId="5599"/>
    <cellStyle name="_PercentSpace 2 2" xfId="5600"/>
    <cellStyle name="_PercentSpace 3" xfId="5601"/>
    <cellStyle name="_PercentSpace 3 2" xfId="5602"/>
    <cellStyle name="_PercentSpace 4" xfId="5603"/>
    <cellStyle name="_PercentSpace 5" xfId="5604"/>
    <cellStyle name="_PercentSpace_101018 BP Check OLS" xfId="5605"/>
    <cellStyle name="_PercentSpace_101018 BP Check OLS 2" xfId="5606"/>
    <cellStyle name="_PercentSpace_101018 BP Check OLS 2 2" xfId="5607"/>
    <cellStyle name="_PercentSpace_101018 BP Check OLS 3" xfId="5608"/>
    <cellStyle name="_PercentSpace_101018 BP Check OLS 3 2" xfId="5609"/>
    <cellStyle name="_PercentSpace_101018 BP Check OLS 4" xfId="5610"/>
    <cellStyle name="_PercentSpace_101018 BP Check OLS 5" xfId="5611"/>
    <cellStyle name="_PercentSpace_101018 BP Check OLS_110329 PQ Challenge Linked to Sharepoint" xfId="5612"/>
    <cellStyle name="_PercentSpace_101018 BP Check OLS_110329 PQ Challenge Linked to Sharepoint 2" xfId="5613"/>
    <cellStyle name="_PercentSpace_101018 BP Check OLS_110329 PQ Challenge Linked to Sharepoint 2 2" xfId="5614"/>
    <cellStyle name="_PercentSpace_101018 BP Check OLS_110329 PQ Challenge Linked to Sharepoint 3" xfId="5615"/>
    <cellStyle name="_PercentSpace_101018 BP Check OLS_110329 PQ Challenge Linked to Sharepoint 3 2" xfId="5616"/>
    <cellStyle name="_PercentSpace_101018 BP Check OLS_110329 PQ Challenge Linked to Sharepoint 4" xfId="5617"/>
    <cellStyle name="_PercentSpace_101018 BP Check OLS_110329 PQ Challenge Linked to Sharepoint 5" xfId="5618"/>
    <cellStyle name="_PercentSpace_101018 BP Check OLS_110413 Outlook ZM Linked to Sharepoint" xfId="5619"/>
    <cellStyle name="_PercentSpace_101018 BP Check OLS_110413 Outlook ZM Linked to Sharepoint 2" xfId="5620"/>
    <cellStyle name="_PercentSpace_101018 BP Check OLS_110413 Outlook ZM Linked to Sharepoint 2 2" xfId="5621"/>
    <cellStyle name="_PercentSpace_101018 BP Check OLS_110413 Outlook ZM Linked to Sharepoint 3" xfId="5622"/>
    <cellStyle name="_PercentSpace_101018 BP Check OLS_110413 Outlook ZM Linked to Sharepoint 3 2" xfId="5623"/>
    <cellStyle name="_PercentSpace_101018 BP Check OLS_110413 Outlook ZM Linked to Sharepoint 4" xfId="5624"/>
    <cellStyle name="_PercentSpace_101018 BP Check OLS_110413 Outlook ZM Linked to Sharepoint 5" xfId="5625"/>
    <cellStyle name="_PercentSpace_110329 PQ Challenge Linked to Sharepoint" xfId="5626"/>
    <cellStyle name="_PercentSpace_110329 PQ Challenge Linked to Sharepoint 2" xfId="5627"/>
    <cellStyle name="_PercentSpace_110329 PQ Challenge Linked to Sharepoint 2 2" xfId="5628"/>
    <cellStyle name="_PercentSpace_110329 PQ Challenge Linked to Sharepoint 3" xfId="5629"/>
    <cellStyle name="_PercentSpace_110329 PQ Challenge Linked to Sharepoint 3 2" xfId="5630"/>
    <cellStyle name="_PercentSpace_110329 PQ Challenge Linked to Sharepoint 4" xfId="5631"/>
    <cellStyle name="_PercentSpace_110329 PQ Challenge Linked to Sharepoint 5" xfId="5632"/>
    <cellStyle name="_PercentSpace_110413 Outlook ZM Linked to Sharepoint" xfId="5633"/>
    <cellStyle name="_PercentSpace_110413 Outlook ZM Linked to Sharepoint 2" xfId="5634"/>
    <cellStyle name="_PercentSpace_110413 Outlook ZM Linked to Sharepoint 2 2" xfId="5635"/>
    <cellStyle name="_PercentSpace_110413 Outlook ZM Linked to Sharepoint 3" xfId="5636"/>
    <cellStyle name="_PercentSpace_110413 Outlook ZM Linked to Sharepoint 3 2" xfId="5637"/>
    <cellStyle name="_PercentSpace_110413 Outlook ZM Linked to Sharepoint 4" xfId="5638"/>
    <cellStyle name="_PercentSpace_110413 Outlook ZM Linked to Sharepoint 5" xfId="5639"/>
    <cellStyle name="_PercentSpace_ICT" xfId="5640"/>
    <cellStyle name="_PercentSpace_NewRef10" xfId="5641"/>
    <cellStyle name="_PercentSpace_NewRef10 2" xfId="5642"/>
    <cellStyle name="_PercentSpace_NewRef10 2 2" xfId="5643"/>
    <cellStyle name="_PercentSpace_NewRef10 3" xfId="5644"/>
    <cellStyle name="_PercentSpace_NewRef10 3 2" xfId="5645"/>
    <cellStyle name="_PercentSpace_NewRef10 4" xfId="5646"/>
    <cellStyle name="_PercentSpace_NewRef10 5" xfId="5647"/>
    <cellStyle name="_PercentSpace_NewRef10_110329 PQ Challenge Linked to Sharepoint" xfId="5648"/>
    <cellStyle name="_PercentSpace_NewRef10_110329 PQ Challenge Linked to Sharepoint 2" xfId="5649"/>
    <cellStyle name="_PercentSpace_NewRef10_110329 PQ Challenge Linked to Sharepoint 2 2" xfId="5650"/>
    <cellStyle name="_PercentSpace_NewRef10_110329 PQ Challenge Linked to Sharepoint 3" xfId="5651"/>
    <cellStyle name="_PercentSpace_NewRef10_110329 PQ Challenge Linked to Sharepoint 3 2" xfId="5652"/>
    <cellStyle name="_PercentSpace_NewRef10_110329 PQ Challenge Linked to Sharepoint 4" xfId="5653"/>
    <cellStyle name="_PercentSpace_NewRef10_110329 PQ Challenge Linked to Sharepoint 5" xfId="5654"/>
    <cellStyle name="_PercentSpace_NewRef10_110413 Outlook ZM Linked to Sharepoint" xfId="5655"/>
    <cellStyle name="_PercentSpace_NewRef10_110413 Outlook ZM Linked to Sharepoint 2" xfId="5656"/>
    <cellStyle name="_PercentSpace_NewRef10_110413 Outlook ZM Linked to Sharepoint 2 2" xfId="5657"/>
    <cellStyle name="_PercentSpace_NewRef10_110413 Outlook ZM Linked to Sharepoint 3" xfId="5658"/>
    <cellStyle name="_PercentSpace_NewRef10_110413 Outlook ZM Linked to Sharepoint 3 2" xfId="5659"/>
    <cellStyle name="_PercentSpace_NewRef10_110413 Outlook ZM Linked to Sharepoint 4" xfId="5660"/>
    <cellStyle name="_PercentSpace_NewRef10_110413 Outlook ZM Linked to Sharepoint 5" xfId="5661"/>
    <cellStyle name="_PercentSpace_NewRef10_ICT" xfId="5662"/>
    <cellStyle name="_PercentSpace_NewRef10_NL Spec Staf _ ICT" xfId="5663"/>
    <cellStyle name="_PercentSpace_NewRef10_Trendanalyse 2009-2013 (MASTER met links naar SharePoint input) - 2011 structuur" xfId="5664"/>
    <cellStyle name="_PercentSpace_NL Spec Staf _ ICT" xfId="5665"/>
    <cellStyle name="_PercentSpace_Trendanalyse 2009-2013 (MASTER met links naar SharePoint input) - 2011 structuur" xfId="5666"/>
    <cellStyle name="_Personeelsoverzichten Entercom" xfId="2560"/>
    <cellStyle name="_Personeelsoverzichten Entercom dd 07-10-05 " xfId="2561"/>
    <cellStyle name="_PFM BP 13aug PL met DU v2" xfId="5667"/>
    <cellStyle name="_PHILIPS - 08 (09.11.07)" xfId="2562"/>
    <cellStyle name="_PL Model 20090706 def_bijgewerkt door Nebojsa" xfId="388"/>
    <cellStyle name="_PL PFM VS functioneel jul07" xfId="2563"/>
    <cellStyle name="_PL PFM VS functioneel jul07 2" xfId="2564"/>
    <cellStyle name="_Plan 2007 CM per RE P&amp;L plus KPI's" xfId="5668"/>
    <cellStyle name="_Plan 2007 CM per RE P&amp;L plus KPI's 2" xfId="5669"/>
    <cellStyle name="_Plan 2007 CM per RE P&amp;L plus KPI's 2 2" xfId="5670"/>
    <cellStyle name="_Plan 2007 CM per RE P&amp;L plus KPI's 3" xfId="5671"/>
    <cellStyle name="_Plan 2007 CM per RE P&amp;L plus KPI's 3 2" xfId="5672"/>
    <cellStyle name="_Plan 2007 CM per RE P&amp;L plus KPI's 4" xfId="5673"/>
    <cellStyle name="_Plan 2007 CM per RE P&amp;L plus KPI's 5" xfId="5674"/>
    <cellStyle name="_Plancijfers 2007" xfId="2565"/>
    <cellStyle name="_Plancijfers 2007 2" xfId="2566"/>
    <cellStyle name="_Plancijfers 2007 2 2" xfId="5675"/>
    <cellStyle name="_Plancijfers 2007 3" xfId="5676"/>
    <cellStyle name="_Plancijfers 2007 3 2" xfId="5677"/>
    <cellStyle name="_Plancijfers 2007 4" xfId="5678"/>
    <cellStyle name="_Plancijfers 2007 5" xfId="5679"/>
    <cellStyle name="_Plancijfers 2007_Blad2" xfId="2567"/>
    <cellStyle name="_Plancijfers 2007_Blad2 2" xfId="2568"/>
    <cellStyle name="_Plancijfers 2007_Blad2_JP2011" xfId="2569"/>
    <cellStyle name="_Plancijfers 2007_JP2011" xfId="2570"/>
    <cellStyle name="_Plancijfers 2007_Model Plan 2012" xfId="2571"/>
    <cellStyle name="_PMG Forecast 05 V1" xfId="2572"/>
    <cellStyle name="_PMG Forecast 05 V2" xfId="2573"/>
    <cellStyle name="_Portfolio Structure svc products 090502 for Kathy" xfId="389"/>
    <cellStyle name="_Portfolio Structure svc products 090502 for Kathy 2" xfId="390"/>
    <cellStyle name="_Portfolio Structure svc products 090502 for Kathy 3" xfId="2574"/>
    <cellStyle name="_Portfolio Structure svc products 090502 for Kathy_ND5 squeeze model  whs-whs v2.21 DWDM ILL" xfId="2575"/>
    <cellStyle name="_PPT Link" xfId="5680"/>
    <cellStyle name="_Pricing WMP 5 + nieuwe TV prijzen WBA + ITV stream only" xfId="391"/>
    <cellStyle name="_Product forecast" xfId="2576"/>
    <cellStyle name="_Product info (2)" xfId="2577"/>
    <cellStyle name="_Product info (2) 2" xfId="2578"/>
    <cellStyle name="_Product info (2) 2 2" xfId="5681"/>
    <cellStyle name="_Product info (2) 3" xfId="5682"/>
    <cellStyle name="_Product info (2) 3 2" xfId="5683"/>
    <cellStyle name="_Product info (2) 4" xfId="5684"/>
    <cellStyle name="_Product info (2) 5" xfId="5685"/>
    <cellStyle name="_Product info (2)_Blad2" xfId="2579"/>
    <cellStyle name="_Product info (2)_Blad2 2" xfId="2580"/>
    <cellStyle name="_Product info (2)_Blad2_JP2011" xfId="2581"/>
    <cellStyle name="_Product info (2)_JP2011" xfId="2582"/>
    <cellStyle name="_Product info (2)_Model Plan 2012" xfId="2583"/>
    <cellStyle name="_Productierapportage CM" xfId="392"/>
    <cellStyle name="_Productierapportage CM 2" xfId="393"/>
    <cellStyle name="_Productierapportage CM 2 2" xfId="5686"/>
    <cellStyle name="_Productierapportage CM 3" xfId="2584"/>
    <cellStyle name="_Productierapportage CM 3 2" xfId="5687"/>
    <cellStyle name="_Productierapportage CM 4" xfId="5688"/>
    <cellStyle name="_Productierapportage CM 5" xfId="5689"/>
    <cellStyle name="_Productierapportage CM_110810_Overzicht_Orderintake" xfId="5690"/>
    <cellStyle name="_Productierapportage CM_20080530 Consolidatie Businessplan v12" xfId="2585"/>
    <cellStyle name="_Productierapportage CM_20080530 Consolidatie Businessplan v12 2" xfId="2586"/>
    <cellStyle name="_Productierapportage CM_20080530 Consolidatie Businessplan v12 2 2" xfId="5691"/>
    <cellStyle name="_Productierapportage CM_20080530 Consolidatie Businessplan v12 3" xfId="5692"/>
    <cellStyle name="_Productierapportage CM_20080530 Consolidatie Businessplan v12 3 2" xfId="5693"/>
    <cellStyle name="_Productierapportage CM_20080530 Consolidatie Businessplan v12 4" xfId="5694"/>
    <cellStyle name="_Productierapportage CM_20080530 Consolidatie Businessplan v12 5" xfId="5695"/>
    <cellStyle name="_Productierapportage CM_20080530 Consolidatie Businessplan v12_Blad2" xfId="2587"/>
    <cellStyle name="_Productierapportage CM_20080530 Consolidatie Businessplan v12_Blad2 2" xfId="2588"/>
    <cellStyle name="_Productierapportage CM_20080530 Consolidatie Businessplan v12_Blad2_JP2011" xfId="2589"/>
    <cellStyle name="_Productierapportage CM_20080530 Consolidatie Businessplan v12_JP2011" xfId="2590"/>
    <cellStyle name="_Productierapportage CM_20080530 Consolidatie Businessplan v12_Model Plan 2012" xfId="2591"/>
    <cellStyle name="_Productierapportage CM_20080605 Consolidatie Businessplan v15" xfId="2592"/>
    <cellStyle name="_Productierapportage CM_20080605 Consolidatie Businessplan v15 2" xfId="2593"/>
    <cellStyle name="_Productierapportage CM_20080605 Consolidatie Businessplan v15 2 2" xfId="5696"/>
    <cellStyle name="_Productierapportage CM_20080605 Consolidatie Businessplan v15 3" xfId="5697"/>
    <cellStyle name="_Productierapportage CM_20080605 Consolidatie Businessplan v15 3 2" xfId="5698"/>
    <cellStyle name="_Productierapportage CM_20080605 Consolidatie Businessplan v15 4" xfId="5699"/>
    <cellStyle name="_Productierapportage CM_20080605 Consolidatie Businessplan v15 5" xfId="5700"/>
    <cellStyle name="_Productierapportage CM_20080605 Consolidatie Businessplan v15_Blad2" xfId="2594"/>
    <cellStyle name="_Productierapportage CM_20080605 Consolidatie Businessplan v15_Blad2 2" xfId="2595"/>
    <cellStyle name="_Productierapportage CM_20080605 Consolidatie Businessplan v15_Blad2_JP2011" xfId="2596"/>
    <cellStyle name="_Productierapportage CM_20080605 Consolidatie Businessplan v15_JP2011" xfId="2597"/>
    <cellStyle name="_Productierapportage CM_20080605 Consolidatie Businessplan v15_Model Plan 2012" xfId="2598"/>
    <cellStyle name="_Productierapportage CM_20080605 Consolidatie Businessplan v19" xfId="2599"/>
    <cellStyle name="_Productierapportage CM_20080605 Consolidatie Businessplan v19 2" xfId="2600"/>
    <cellStyle name="_Productierapportage CM_20080605 Consolidatie Businessplan v19 2 2" xfId="5701"/>
    <cellStyle name="_Productierapportage CM_20080605 Consolidatie Businessplan v19 3" xfId="5702"/>
    <cellStyle name="_Productierapportage CM_20080605 Consolidatie Businessplan v19 3 2" xfId="5703"/>
    <cellStyle name="_Productierapportage CM_20080605 Consolidatie Businessplan v19 4" xfId="5704"/>
    <cellStyle name="_Productierapportage CM_20080605 Consolidatie Businessplan v19 5" xfId="5705"/>
    <cellStyle name="_Productierapportage CM_20080605 Consolidatie Businessplan v19_Blad2" xfId="2601"/>
    <cellStyle name="_Productierapportage CM_20080605 Consolidatie Businessplan v19_Blad2 2" xfId="2602"/>
    <cellStyle name="_Productierapportage CM_20080605 Consolidatie Businessplan v19_Blad2_JP2011" xfId="2603"/>
    <cellStyle name="_Productierapportage CM_20080605 Consolidatie Businessplan v19_JP2011" xfId="2604"/>
    <cellStyle name="_Productierapportage CM_20080605 Consolidatie Businessplan v19_Model Plan 2012" xfId="2605"/>
    <cellStyle name="_Productierapportage CM_BenI" xfId="5706"/>
    <cellStyle name="_Productierapportage CM_Blad2" xfId="2606"/>
    <cellStyle name="_Productierapportage CM_Blad2 2" xfId="2607"/>
    <cellStyle name="_Productierapportage CM_Blad2_JP2011" xfId="2608"/>
    <cellStyle name="_Productierapportage CM_Fixed Data" xfId="5707"/>
    <cellStyle name="_Productierapportage CM_JP2011" xfId="2609"/>
    <cellStyle name="_Productierapportage CM_Model Plan 2012" xfId="2610"/>
    <cellStyle name="_Productierapportage CM_ND5 squeeze model  whs-whs v2.21 DWDM ILL" xfId="2611"/>
    <cellStyle name="_Productierapportage CM_OIT data LE,SCM,INS,targets" xfId="5708"/>
    <cellStyle name="_Productierapportage CM_SWOL" xfId="5709"/>
    <cellStyle name="_Products" xfId="2612"/>
    <cellStyle name="_Profit &amp; Loss" xfId="2613"/>
    <cellStyle name="_Prognoses 2007 Q2 v 0 3 (2)" xfId="394"/>
    <cellStyle name="_Prognoses Q4 2005 final.doc" xfId="395"/>
    <cellStyle name="_Projecten lls 3" xfId="396"/>
    <cellStyle name="_Projecten lls 3_LPM PL 20101014 Concept" xfId="2614"/>
    <cellStyle name="_Projecten lls 3_LPM PL 20101028 obv LRIC inkoop" xfId="2615"/>
    <cellStyle name="_Projecten lls 3_ND5 squeeze model  whs-whs v2.21 DWDM ILL" xfId="2616"/>
    <cellStyle name="_Projectenlijst IT NL input JEV Q3  CRM def" xfId="5710"/>
    <cellStyle name="_Proposal Org 2009 in OSE-CORP-NL hyp_v5" xfId="2617"/>
    <cellStyle name="_Proposal Org 2009 in OSE-CORP-NL hyp_v5 2" xfId="2618"/>
    <cellStyle name="_Proposal Org 2009 in OSE-CORP-NL hyp_v5_Blad2" xfId="2619"/>
    <cellStyle name="_Proposal Org 2009 in OSE-CORP-NL hyp_v5_Blad2 2" xfId="2620"/>
    <cellStyle name="_Proposal Org 2009 in OSE-CORP-NL hyp_v5_Blad2_JP2011" xfId="2621"/>
    <cellStyle name="_Proposal Org 2009 in OSE-CORP-NL hyp_v5_Copy of Org tabel menu kaart" xfId="2622"/>
    <cellStyle name="_Proposal Org 2009 in OSE-CORP-NL hyp_v5_Entity structuur 2011" xfId="2623"/>
    <cellStyle name="_Proposal Org 2009 in OSE-CORP-NL hyp_v5_GDC nieuwe pfc cc jan  2011 v4" xfId="2624"/>
    <cellStyle name="_Proposal Org 2009 in OSE-CORP-NL hyp_v5_JP2011" xfId="2625"/>
    <cellStyle name="_Proposal Org 2009 in OSE-CORP-NL hyp_v5_Model Plan 2012" xfId="2626"/>
    <cellStyle name="_PVO 41 IC YP MAS Staf naar Staven" xfId="2627"/>
    <cellStyle name="_pxq-ontwikkeling juli '04_v2" xfId="397"/>
    <cellStyle name="_pxq-ontwikkeling juli '04_v2 2" xfId="398"/>
    <cellStyle name="_pxq-ontwikkeling juli '04_v2 3" xfId="2628"/>
    <cellStyle name="_pxq-ontwikkeling juli '04_v2_ND5 squeeze model  whs-whs v2.21 DWDM ILL" xfId="2629"/>
    <cellStyle name="_Pyramid fixed forecast NL 4Q 06" xfId="2630"/>
    <cellStyle name="_Q Glas" xfId="5711"/>
    <cellStyle name="_Q Glas 2" xfId="5712"/>
    <cellStyle name="_Q Glas 2 2" xfId="5713"/>
    <cellStyle name="_Q Glas 3" xfId="5714"/>
    <cellStyle name="_Q Glas 3 2" xfId="5715"/>
    <cellStyle name="_Q Glas 4" xfId="5716"/>
    <cellStyle name="_Q Glas 5" xfId="5717"/>
    <cellStyle name="_Q KPN INT" xfId="5718"/>
    <cellStyle name="_Q KPN INT 2" xfId="5719"/>
    <cellStyle name="_Q KPN INT 2 2" xfId="5720"/>
    <cellStyle name="_Q KPN INT 3" xfId="5721"/>
    <cellStyle name="_Q KPN INT 3 2" xfId="5722"/>
    <cellStyle name="_Q KPN INT 4" xfId="5723"/>
    <cellStyle name="_Q KPN INT 5" xfId="5724"/>
    <cellStyle name="_Q Mobiel" xfId="5725"/>
    <cellStyle name="_Q Mobiel 2" xfId="5726"/>
    <cellStyle name="_Q Mobiel 2 2" xfId="5727"/>
    <cellStyle name="_Q Mobiel 3" xfId="5728"/>
    <cellStyle name="_Q Mobiel 3 2" xfId="5729"/>
    <cellStyle name="_Q Mobiel 4" xfId="5730"/>
    <cellStyle name="_Q Mobiel 5" xfId="5731"/>
    <cellStyle name="_R12 2 verdeelsleutel" xfId="5732"/>
    <cellStyle name="_R12 2 verdeelsleutel 2" xfId="5733"/>
    <cellStyle name="_R12 2 verdeelsleutel 2 2" xfId="5734"/>
    <cellStyle name="_R12 2 verdeelsleutel 3" xfId="5735"/>
    <cellStyle name="_R12 2 verdeelsleutel 3 2" xfId="5736"/>
    <cellStyle name="_R12 2 verdeelsleutel 4" xfId="5737"/>
    <cellStyle name="_R12 2 verdeelsleutel 5" xfId="5738"/>
    <cellStyle name="_R13 verdeelsleutel 25-5-2009" xfId="5739"/>
    <cellStyle name="_R13 verdeelsleutel 25-5-2009 2" xfId="5740"/>
    <cellStyle name="_R13 verdeelsleutel 25-5-2009 2 2" xfId="5741"/>
    <cellStyle name="_R13 verdeelsleutel 25-5-2009 3" xfId="5742"/>
    <cellStyle name="_R13 verdeelsleutel 25-5-2009 3 2" xfId="5743"/>
    <cellStyle name="_R13 verdeelsleutel 25-5-2009 4" xfId="5744"/>
    <cellStyle name="_R13 verdeelsleutel 25-5-2009 5" xfId="5745"/>
    <cellStyle name="_Rapportage SAC + CE 200812 o b v  JEV_DEF" xfId="5746"/>
    <cellStyle name="_Rapportage SAC + CE 200812 o b v  JEV_DEF 2" xfId="5747"/>
    <cellStyle name="_Rapportage SAC + CE 200812 o b v  JEV_DEF 2 2" xfId="5748"/>
    <cellStyle name="_Rapportage SAC + CE 200812 o b v  JEV_DEF 3" xfId="5749"/>
    <cellStyle name="_Rapportage SAC + CE 200812 o b v  JEV_DEF 3 2" xfId="5750"/>
    <cellStyle name="_Rapportage SAC + CE 200812 o b v  JEV_DEF 4" xfId="5751"/>
    <cellStyle name="_Rapportage SAC + CE 200812 o b v  JEV_DEF 5" xfId="5752"/>
    <cellStyle name="_Rapportage Tlf 0705" xfId="2631"/>
    <cellStyle name="_rapportage_Jos_Miranda" xfId="399"/>
    <cellStyle name="_rapportage_Jos_Miranda 2" xfId="2632"/>
    <cellStyle name="_rapportage_Jos_Miranda 2 2" xfId="2633"/>
    <cellStyle name="_Real 2009" xfId="5753"/>
    <cellStyle name="_Real 2009 2" xfId="5754"/>
    <cellStyle name="_Real 2009 2 2" xfId="5755"/>
    <cellStyle name="_Real 2009 3" xfId="5756"/>
    <cellStyle name="_Real 2009 3 2" xfId="5757"/>
    <cellStyle name="_Real 2009 4" xfId="5758"/>
    <cellStyle name="_Real 2009 5" xfId="5759"/>
    <cellStyle name="_Real 2009_110810_Overzicht_Orderintake" xfId="5760"/>
    <cellStyle name="_Real 2009_BenI" xfId="5761"/>
    <cellStyle name="_Real 2009_Fixed Data" xfId="5762"/>
    <cellStyle name="_Real 2009_OIT data LE,SCM,INS,targets" xfId="5763"/>
    <cellStyle name="_Real 2009_SWOL" xfId="5764"/>
    <cellStyle name="_Real 2010" xfId="5765"/>
    <cellStyle name="_Real 2010 2" xfId="5766"/>
    <cellStyle name="_Real 2011" xfId="5767"/>
    <cellStyle name="_Real 2011 2" xfId="5768"/>
    <cellStyle name="_Real 2012 " xfId="5769"/>
    <cellStyle name="_Real 2012  2" xfId="5770"/>
    <cellStyle name="_Realisatie" xfId="400"/>
    <cellStyle name="_Realisatie 2" xfId="401"/>
    <cellStyle name="_Realisatie 3" xfId="2634"/>
    <cellStyle name="_Realisatie_ND5 squeeze model  whs-whs v2.21 DWDM ILL" xfId="2635"/>
    <cellStyle name="_recepten EVPN draft_v0.9_20090420" xfId="402"/>
    <cellStyle name="_Referentie sheet KPNNL1 (2)" xfId="5771"/>
    <cellStyle name="_Referentie sheet KPNNL1 (2) 2" xfId="5772"/>
    <cellStyle name="_Referentie sheet KPNNL1 (2) 2 2" xfId="5773"/>
    <cellStyle name="_Referentie sheet KPNNL1 (2) 3" xfId="5774"/>
    <cellStyle name="_Referentie sheet KPNNL1 (2) 3 2" xfId="5775"/>
    <cellStyle name="_Referentie sheet KPNNL1 (2) 4" xfId="5776"/>
    <cellStyle name="_Referentie sheet KPNNL1 (2) 5" xfId="5777"/>
    <cellStyle name="_Refv34" xfId="5778"/>
    <cellStyle name="_Refv34 2" xfId="5779"/>
    <cellStyle name="_Refv34 2 2" xfId="5780"/>
    <cellStyle name="_Refv34 3" xfId="5781"/>
    <cellStyle name="_Refv34 3 2" xfId="5782"/>
    <cellStyle name="_Refv34 4" xfId="5783"/>
    <cellStyle name="_Refv34 5" xfId="5784"/>
    <cellStyle name="_Region 1 client list" xfId="2636"/>
    <cellStyle name="_Remote Serv+Client Serv Summary" xfId="2637"/>
    <cellStyle name="_REPORT PLANSET 2009-2011 CM gesloopt na RVC na restate 1+2" xfId="5785"/>
    <cellStyle name="_REPORT PLANSET 2009-2011 CM gesloopt na RVC na restate 1+2 2" xfId="5786"/>
    <cellStyle name="_REPORT PLANSET 2009-2011 CM gesloopt na RVC na restate 1+2 2 2" xfId="5787"/>
    <cellStyle name="_REPORT PLANSET 2009-2011 CM gesloopt na RVC na restate 1+2 3" xfId="5788"/>
    <cellStyle name="_REPORT PLANSET 2009-2011 CM gesloopt na RVC na restate 1+2 3 2" xfId="5789"/>
    <cellStyle name="_REPORT PLANSET 2009-2011 CM gesloopt na RVC na restate 1+2 4" xfId="5790"/>
    <cellStyle name="_REPORT PLANSET 2009-2011 CM gesloopt na RVC na restate 1+2 5" xfId="5791"/>
    <cellStyle name="_Reporting SAC SRC" xfId="5792"/>
    <cellStyle name="_Revenue Detail (12)" xfId="2638"/>
    <cellStyle name="_RoamingRisico invulformat" xfId="5793"/>
    <cellStyle name="_RoamingRisico invulformat 2" xfId="5794"/>
    <cellStyle name="_RoamingRisico invulformat 2 2" xfId="5795"/>
    <cellStyle name="_RoamingRisico invulformat 3" xfId="5796"/>
    <cellStyle name="_RoamingRisico invulformat 3 2" xfId="5797"/>
    <cellStyle name="_RoamingRisico invulformat 4" xfId="5798"/>
    <cellStyle name="_RoamingRisico invulformat 5" xfId="5799"/>
    <cellStyle name="_Routerkosten (kooprouters)" xfId="403"/>
    <cellStyle name="_Routerkosten (kooprouters) 2" xfId="2639"/>
    <cellStyle name="_Routerkosten (kooprouters) 2 2" xfId="2640"/>
    <cellStyle name="_Routerkosten (kooprouters)_EVPN Model_20102601_v0.1" xfId="404"/>
    <cellStyle name="_Routerkosten (kooprouters)_KWT IS Data 2010-10-07" xfId="2641"/>
    <cellStyle name="_Routerkosten (kooprouters)_ND5 squeeze model  whs-whs v2.21 DWDM ILL" xfId="2642"/>
    <cellStyle name="_Routerkosten (kooprouters)_ZM IS Data Tarievenboek 2010-03-11" xfId="405"/>
    <cellStyle name="_RV 03-2008 IML formats " xfId="5800"/>
    <cellStyle name="_RV 04-2008 IML formats  (2)" xfId="5801"/>
    <cellStyle name="_RV 05-2008 per regio" xfId="5802"/>
    <cellStyle name="_RvB Early warning Fixed wk 24" xfId="5803"/>
    <cellStyle name="_RvB Early warning Fixed wk 24 2" xfId="5804"/>
    <cellStyle name="_RvB Early warning Fixed wk 24 2 2" xfId="5805"/>
    <cellStyle name="_RvB Early warning Fixed wk 24 3" xfId="5806"/>
    <cellStyle name="_RvB Early warning Fixed wk 24 3 2" xfId="5807"/>
    <cellStyle name="_RvB Early warning Fixed wk 24 4" xfId="5808"/>
    <cellStyle name="_RvB Early warning Fixed wk 24 5" xfId="5809"/>
    <cellStyle name="_sac" xfId="5810"/>
    <cellStyle name="_SAC rapportage april" xfId="2643"/>
    <cellStyle name="_SAC rapportage april 2" xfId="2644"/>
    <cellStyle name="_SAC rapportage april 2 2" xfId="5811"/>
    <cellStyle name="_SAC rapportage april 3" xfId="5812"/>
    <cellStyle name="_SAC rapportage april 3 2" xfId="5813"/>
    <cellStyle name="_SAC rapportage april 4" xfId="5814"/>
    <cellStyle name="_SAC rapportage april 5" xfId="5815"/>
    <cellStyle name="_SAC rapportage april_Blad2" xfId="2645"/>
    <cellStyle name="_SAC rapportage april_Blad2 2" xfId="2646"/>
    <cellStyle name="_SAC rapportage april_Blad2_JP2011" xfId="2647"/>
    <cellStyle name="_SAC rapportage april_JP2011" xfId="2648"/>
    <cellStyle name="_SAC rapportage april_Model Plan 2012" xfId="2649"/>
    <cellStyle name="_SAC rapportage juli jev" xfId="2650"/>
    <cellStyle name="_SAC rapportage juli jev 2" xfId="2651"/>
    <cellStyle name="_SAC rapportage juli jev 2 2" xfId="5816"/>
    <cellStyle name="_SAC rapportage juli jev 3" xfId="5817"/>
    <cellStyle name="_SAC rapportage juli jev 3 2" xfId="5818"/>
    <cellStyle name="_SAC rapportage juli jev 4" xfId="5819"/>
    <cellStyle name="_SAC rapportage juli jev 5" xfId="5820"/>
    <cellStyle name="_SAC rapportage juli jev_Blad2" xfId="2652"/>
    <cellStyle name="_SAC rapportage juli jev_Blad2 2" xfId="2653"/>
    <cellStyle name="_SAC rapportage juli jev_Blad2_JP2011" xfId="2654"/>
    <cellStyle name="_SAC rapportage juli jev_JP2011" xfId="2655"/>
    <cellStyle name="_SAC rapportage juli jev_Model Plan 2012" xfId="2656"/>
    <cellStyle name="_SAC rapportage juni jev mv" xfId="2657"/>
    <cellStyle name="_SAC rapportage juni jev mv 2" xfId="2658"/>
    <cellStyle name="_SAC rapportage juni jev mv 2 2" xfId="5821"/>
    <cellStyle name="_SAC rapportage juni jev mv 3" xfId="5822"/>
    <cellStyle name="_SAC rapportage juni jev mv 3 2" xfId="5823"/>
    <cellStyle name="_SAC rapportage juni jev mv 4" xfId="5824"/>
    <cellStyle name="_SAC rapportage juni jev mv 5" xfId="5825"/>
    <cellStyle name="_SAC rapportage juni jev mv_Blad2" xfId="2659"/>
    <cellStyle name="_SAC rapportage juni jev mv_Blad2 2" xfId="2660"/>
    <cellStyle name="_SAC rapportage juni jev mv_Blad2_JP2011" xfId="2661"/>
    <cellStyle name="_SAC rapportage juni jev mv_JP2011" xfId="2662"/>
    <cellStyle name="_SAC rapportage juni jev mv_Model Plan 2012" xfId="2663"/>
    <cellStyle name="_sac_OIT data LE,SCM,INS,targets" xfId="5826"/>
    <cellStyle name="_SAcode digitale VV  tot en met 2048kbps VVIS" xfId="406"/>
    <cellStyle name="_SAC-SRC per kanaal_berekening (karre498 v1)" xfId="5827"/>
    <cellStyle name="_SAC-SRC per kanaal_berekening (karre498 v1) 2" xfId="5828"/>
    <cellStyle name="_SAC-SRC per kanaal_berekening (karre498 v1) 2 2" xfId="5829"/>
    <cellStyle name="_SAC-SRC per kanaal_berekening (karre498 v1) 3" xfId="5830"/>
    <cellStyle name="_SAC-SRC per kanaal_berekening (karre498 v1) 3 2" xfId="5831"/>
    <cellStyle name="_SAC-SRC per kanaal_berekening (karre498 v1) 4" xfId="5832"/>
    <cellStyle name="_SAC-SRC per kanaal_berekening (karre498 v1) 5" xfId="5833"/>
    <cellStyle name="_Sales 02-2010 Omzetgrafieken" xfId="5834"/>
    <cellStyle name="_SANOFI AVENTIS - 08 (DAWN LEWRY)" xfId="2664"/>
    <cellStyle name="_SAP-NL EC07 Boeking IES NL P03 (2)" xfId="2665"/>
    <cellStyle name="_SAP-NL EC07 Boeking IES NL P03 (2)_GDC nieuwe pfc cc jan  2011 v4" xfId="2666"/>
    <cellStyle name="_SAP-NL EC13 IES Achmea P02 YTD 600k" xfId="2667"/>
    <cellStyle name="_SAP-NL EC13 IES Achmea P02 YTD 600k_GDC nieuwe pfc cc jan  2011 v4" xfId="2668"/>
    <cellStyle name="_SAP-NL EC17 Commission IES Locals YTD P02" xfId="2669"/>
    <cellStyle name="_SAP-NL EC17 Commission IES Locals YTD P02_GDC nieuwe pfc cc jan  2011 v4" xfId="2670"/>
    <cellStyle name="_SB Voice ZM Rapportage categoraal maand januari 2006r" xfId="407"/>
    <cellStyle name="_SB Voice ZM Rapportage categoraal maand januari 2006r 2" xfId="408"/>
    <cellStyle name="_SB Voice ZM Rapportage categoraal maand januari 2006r 2 2" xfId="5835"/>
    <cellStyle name="_SB Voice ZM Rapportage categoraal maand januari 2006r 3" xfId="2671"/>
    <cellStyle name="_SB Voice ZM Rapportage categoraal maand januari 2006r 3 2" xfId="5836"/>
    <cellStyle name="_SB Voice ZM Rapportage categoraal maand januari 2006r 4" xfId="5837"/>
    <cellStyle name="_SB Voice ZM Rapportage categoraal maand januari 2006r 5" xfId="5838"/>
    <cellStyle name="_SB Voice ZM Rapportage categoraal maand januari 2006r_Blad2" xfId="2672"/>
    <cellStyle name="_SB Voice ZM Rapportage categoraal maand januari 2006r_Blad2 2" xfId="2673"/>
    <cellStyle name="_SB Voice ZM Rapportage categoraal maand januari 2006r_Blad2_JP2011" xfId="2674"/>
    <cellStyle name="_SB Voice ZM Rapportage categoraal maand januari 2006r_JP2011" xfId="2675"/>
    <cellStyle name="_SB Voice ZM Rapportage categoraal maand januari 2006r_Model Plan 2012" xfId="2676"/>
    <cellStyle name="_SB Voice ZM Rapportage categoraal maand januari 2006r_ND5 squeeze model  whs-whs v2.21 DWDM ILL" xfId="2677"/>
    <cellStyle name="_SB Voice ZM Rapportage categoraal maand januari 2006r_OIT data LE,SCM,INS,targets" xfId="5839"/>
    <cellStyle name="_Schlumberger022305v3" xfId="2678"/>
    <cellStyle name="_SCM 05-2008 per sector" xfId="5840"/>
    <cellStyle name="_SCOTTISH WIDOWS - 08 A.Haslam input" xfId="2679"/>
    <cellStyle name="_SDsummary(actuals) April 07" xfId="2680"/>
    <cellStyle name="_SDsummary(actuals) April 07_FC_06" xfId="2681"/>
    <cellStyle name="_SDsummary(actuals) April 07_Sheet1" xfId="2682"/>
    <cellStyle name="_Seats per country" xfId="2683"/>
    <cellStyle name="_Seats per country_ManInput" xfId="2684"/>
    <cellStyle name="_Seats per country_ManInput_Sheet1" xfId="2685"/>
    <cellStyle name="_SenM Voortgangsrapportage 2010 wk03" xfId="5841"/>
    <cellStyle name="_SenM Voortgangsrapportage 2011 wk26" xfId="5842"/>
    <cellStyle name="_september 2006" xfId="2686"/>
    <cellStyle name="_Service product listing 091102" xfId="409"/>
    <cellStyle name="_Service product listing 091102 2" xfId="410"/>
    <cellStyle name="_Service product listing 091102 3" xfId="2687"/>
    <cellStyle name="_Service product listing 091102_ND5 squeeze model  whs-whs v2.21 DWDM ILL" xfId="2688"/>
    <cellStyle name="_Sheet1" xfId="2689"/>
    <cellStyle name="_Sheet1 2" xfId="2690"/>
    <cellStyle name="_Sheet1 2 2" xfId="5845"/>
    <cellStyle name="_Sheet1 2 3" xfId="5844"/>
    <cellStyle name="_Sheet1 3" xfId="5846"/>
    <cellStyle name="_Sheet1 3 2" xfId="5847"/>
    <cellStyle name="_Sheet1 4" xfId="5848"/>
    <cellStyle name="_Sheet1 5" xfId="5849"/>
    <cellStyle name="_Sheet1 6" xfId="5843"/>
    <cellStyle name="_Sheet1_1" xfId="5850"/>
    <cellStyle name="_Sheet1_ManInput" xfId="2691"/>
    <cellStyle name="_Sheet1_Risks" xfId="2692"/>
    <cellStyle name="_Sheet1_Sheet1" xfId="2693"/>
    <cellStyle name="_Sheet2" xfId="2694"/>
    <cellStyle name="_Sheet2 2" xfId="2695"/>
    <cellStyle name="_Sheet2_JP2011" xfId="2696"/>
    <cellStyle name="_Sheet3" xfId="2697"/>
    <cellStyle name="_Sheet4" xfId="411"/>
    <cellStyle name="_Sheet4_ND5 squeeze model  whs-whs v2.21 DWDM ILL" xfId="2698"/>
    <cellStyle name="_SHELL - 08 PB 6 Nov" xfId="2699"/>
    <cellStyle name="_Site NS" xfId="2700"/>
    <cellStyle name="_SLA-bijlage BS-Conn 2006v03" xfId="412"/>
    <cellStyle name="_SLA-bijlage BS-Conn 2006v03 2" xfId="413"/>
    <cellStyle name="_SLA-bijlage BS-Conn 2006v03 3" xfId="2701"/>
    <cellStyle name="_SLA-bijlage BS-Conn 2006v03_ND5 squeeze model  whs-whs v2.21 DWDM ILL" xfId="2702"/>
    <cellStyle name="_Southern Region 2008 Coverage Customer Budget V 1.4" xfId="2703"/>
    <cellStyle name="_Southern Region 2008 Depth Customer Budget V1.7 values" xfId="2704"/>
    <cellStyle name="_Southern Region 2008 Depth Customer Budget V1.7 values_ManInput" xfId="2705"/>
    <cellStyle name="_Southern Region 2008 Depth Customer Budget V1.7 values_Risks" xfId="2706"/>
    <cellStyle name="_Southern Region 2008 Depth Customer Budget V1.7 values_Sheet1" xfId="2707"/>
    <cellStyle name="_Southern Region 2008 Depth Customer Budget V2.3" xfId="2708"/>
    <cellStyle name="_Southern Region Depth Customer Account Analysis V 1.0" xfId="2709"/>
    <cellStyle name="_Southern Region Management Overhead" xfId="2710"/>
    <cellStyle name="_Southern Region Management Overhead Reporting Pack V1.1" xfId="2711"/>
    <cellStyle name="_Stafafdelingen v2" xfId="414"/>
    <cellStyle name="_Stafafdelingen v2 2" xfId="415"/>
    <cellStyle name="_Stafafdelingen v2 3" xfId="2712"/>
    <cellStyle name="_Stafafdelingen v2_ND5 squeeze model  whs-whs v2.21 DWDM ILL" xfId="2713"/>
    <cellStyle name="_Stand OHW CM RE 244 Q1 2007" xfId="5851"/>
    <cellStyle name="_Stand OHW CM RE 244 Q1 2007 2" xfId="5852"/>
    <cellStyle name="_Stand OHW CM RE 244 Q1 2007 2 2" xfId="5853"/>
    <cellStyle name="_Stand OHW CM RE 244 Q1 2007 3" xfId="5854"/>
    <cellStyle name="_Stand OHW CM RE 244 Q1 2007 3 2" xfId="5855"/>
    <cellStyle name="_Stand OHW CM RE 244 Q1 2007 4" xfId="5856"/>
    <cellStyle name="_Stand OHW CM RE 244 Q1 2007 5" xfId="5857"/>
    <cellStyle name="_State of Affairs XS4ALL Juni 2006" xfId="5858"/>
    <cellStyle name="_SUBSEA 7 - 08 MC v1" xfId="2714"/>
    <cellStyle name="_Succesvolle orders 2008" xfId="416"/>
    <cellStyle name="_Summary Business Plan 01-jun-2006" xfId="2715"/>
    <cellStyle name="_SUPERDRUG - 08 TEMPLATE PB 7 Nov" xfId="2716"/>
    <cellStyle name="_SWOL" xfId="5859"/>
    <cellStyle name="_Tariefbepaling 2007_v21082006 voor Engelse presentatie (2)" xfId="417"/>
    <cellStyle name="_Tariefbepaling 2007_v21082006 voor Engelse presentatie (2) 2" xfId="418"/>
    <cellStyle name="_Tariefbepaling 2007_v21082006 voor Engelse presentatie (2) 3" xfId="2717"/>
    <cellStyle name="_Tariefbepaling 2007_v21082006 voor Engelse presentatie (2)_ND5 squeeze model  whs-whs v2.21 DWDM ILL" xfId="2718"/>
    <cellStyle name="_Tariefvoorstel ILL DWDM 240209 (2)" xfId="419"/>
    <cellStyle name="_Tariefvoorstel ILL DWDM 240209 (2)_LPM PL 20101014 Concept" xfId="2719"/>
    <cellStyle name="_Tariefvoorstel ILL DWDM 240209 (2)_LPM PL 20101028 obv LRIC inkoop" xfId="2720"/>
    <cellStyle name="_Tariefvoorstel ILL DWDM 240209 (2)_ND5 squeeze model  whs-whs v2.21 DWDM ILL" xfId="2721"/>
    <cellStyle name="_tarieven DWDM 20-5-2009-com" xfId="420"/>
    <cellStyle name="_tarieven DWDM 20-5-2009-com 2" xfId="421"/>
    <cellStyle name="_tarieven DWDM 20-5-2009-com 3" xfId="2722"/>
    <cellStyle name="_Tarieven DWDM ILL 3 juni 2011" xfId="2723"/>
    <cellStyle name="_tarieven ILL DWDM 11-5-2009" xfId="422"/>
    <cellStyle name="_tarieven ILL DWDM 11-5-2009 2" xfId="423"/>
    <cellStyle name="_tarieven ILL DWDM 11-5-2009 3" xfId="2724"/>
    <cellStyle name="_tarieven ILL DWDM 11-5-2009_ND5 squeeze model  whs-whs v2.21 DWDM ILL" xfId="2725"/>
    <cellStyle name="_tarieven ILL DWDM 27-10-2009" xfId="2726"/>
    <cellStyle name="_tarieven ILL DWDM 27-4-2009" xfId="424"/>
    <cellStyle name="_tarieven ILL DWDM 27-4-2009_ND5 squeeze model  whs-whs v2.21 DWDM ILL" xfId="2727"/>
    <cellStyle name="_tarieven ILL DWDM 29-10-2009" xfId="2728"/>
    <cellStyle name="_tarieven ILL SDH 30-1-2009" xfId="425"/>
    <cellStyle name="_tarieven ILL SDH 30-1-2009 2" xfId="426"/>
    <cellStyle name="_tarieven ILL SDH 30-1-2009 3" xfId="2729"/>
    <cellStyle name="_tarieven ILL SDH 30-1-2009_ND5 squeeze model  whs-whs v2.21 DWDM ILL" xfId="2730"/>
    <cellStyle name="_tarieven ILL SDH 6-2-2009" xfId="427"/>
    <cellStyle name="_tarieven ILL SDH 6-2-2009 2" xfId="428"/>
    <cellStyle name="_tarieven ILL SDH 6-2-2009 3" xfId="2731"/>
    <cellStyle name="_tarieven ILL SDH 6-2-2009_ND5 squeeze model  whs-whs v2.21 DWDM ILL" xfId="2732"/>
    <cellStyle name="_Tarieven ILL-breedband en DWDM 21-1-2009" xfId="429"/>
    <cellStyle name="_Tarieven ILL-breedband en DWDM 21-1-2009 2" xfId="430"/>
    <cellStyle name="_Tarieven ILL-breedband en DWDM 21-1-2009 3" xfId="2733"/>
    <cellStyle name="_Tarieven ILL-breedband en DWDM 21-1-2009_ND5 squeeze model  whs-whs v2.21 DWDM ILL" xfId="2734"/>
    <cellStyle name="_tarieven SDH 15-7-2009-com" xfId="431"/>
    <cellStyle name="_tarieven SDH 15-7-2009-com_ND5 squeeze model  whs-whs v2.21 DWDM ILL" xfId="2735"/>
    <cellStyle name="_tarieven SDH 20-5-2009-com" xfId="432"/>
    <cellStyle name="_tarieven SDH 20-5-2009-com 2" xfId="433"/>
    <cellStyle name="_tarieven SDH 20-5-2009-com 3" xfId="2736"/>
    <cellStyle name="_Telfort (oud) portfolio - toevoeging" xfId="434"/>
    <cellStyle name="_test1" xfId="435"/>
    <cellStyle name="_test1 2" xfId="436"/>
    <cellStyle name="_test1 3" xfId="2737"/>
    <cellStyle name="_test1_ND5 squeeze model  whs-whs v2.21 DWDM ILL" xfId="2738"/>
    <cellStyle name="_THOMAS COOK - 08 Forecast pmil v3.0" xfId="2739"/>
    <cellStyle name="_THRESHER - 08 TEMPLATE" xfId="2740"/>
    <cellStyle name="_T-MOBILE - 08 Fergal Donnelly" xfId="2741"/>
    <cellStyle name="_TOT_DSL_INV_2004" xfId="437"/>
    <cellStyle name="_Totaal ACTIEF Input JP 2005 " xfId="438"/>
    <cellStyle name="_Totaal ACTIEF Input JP 2005  2" xfId="439"/>
    <cellStyle name="_Totaal ACTIEF Input JP 2005  3" xfId="2742"/>
    <cellStyle name="_Totaal ACTIEF Input JP 2005 _ND5 squeeze model  whs-whs v2.21 DWDM ILL" xfId="2743"/>
    <cellStyle name="_Totaal effect besluit Steven 14-12-2006 verrekening 30-1-2007" xfId="440"/>
    <cellStyle name="_Totaal overzicht 2009" xfId="5860"/>
    <cellStyle name="_Totaal overzicht 2009 (2)" xfId="5861"/>
    <cellStyle name="_Totaal vast Q4 2004 v0 301104" xfId="2744"/>
    <cellStyle name="_Totaal vast Q4 2004 v0 301104_Book2" xfId="2745"/>
    <cellStyle name="_Totaal vast Q4 2004 v0 301104_Book3" xfId="2746"/>
    <cellStyle name="_Totaal vast Q4 2004 v0 301104_ICS KPI" xfId="2747"/>
    <cellStyle name="_TOTAALIFRS excl. kosten11" xfId="441"/>
    <cellStyle name="_Totaalsheet dec v10" xfId="2748"/>
    <cellStyle name="_Totaalsheet dec v10 2" xfId="2749"/>
    <cellStyle name="_Totaalsheet dec v10 2 2" xfId="5862"/>
    <cellStyle name="_Totaalsheet dec v10 3" xfId="5863"/>
    <cellStyle name="_Totaalsheet dec v10 3 2" xfId="5864"/>
    <cellStyle name="_Totaalsheet dec v10 4" xfId="5865"/>
    <cellStyle name="_Totaalsheet dec v10 5" xfId="5866"/>
    <cellStyle name="_Totaalsheet dec v10_FC categoraal" xfId="2750"/>
    <cellStyle name="_Totaalsheet dec v10_GDC nieuwe pfc cc jan  2011 v4" xfId="2751"/>
    <cellStyle name="_Totaalsheet dec v10_JP2011" xfId="2752"/>
    <cellStyle name="_Totaalsheet dec v10_JP2011 2" xfId="2753"/>
    <cellStyle name="_Totaalsheet dec v10_JP2011_1" xfId="2754"/>
    <cellStyle name="_Totaalsheet dec v10_Pivot" xfId="5867"/>
    <cellStyle name="_Totaalsheet dec v10_PPT Link" xfId="5868"/>
    <cellStyle name="_Totaalsheet dec v10_Preclosing" xfId="2755"/>
    <cellStyle name="_Totaalsheet dec v10_Preclosing 2" xfId="2756"/>
    <cellStyle name="_Totaalsheet dec v10_Preclosing jan11" xfId="2757"/>
    <cellStyle name="_Totaalsheet dec v10_Preclosing_1" xfId="2758"/>
    <cellStyle name="_Totaalsheet dec v10_Preclosing_2" xfId="2759"/>
    <cellStyle name="_Totaalsheet dec v10_Preclosing_3" xfId="2760"/>
    <cellStyle name="_Totaalsheet dec v10_Preclosing_FC categoraal" xfId="2761"/>
    <cellStyle name="_Totaalsheet dec v10_Sheet1" xfId="2762"/>
    <cellStyle name="_Totaalsheet dec v10_Sheet1_1" xfId="2763"/>
    <cellStyle name="_Totaalsheet dec v10_Sheet1_1 2" xfId="2764"/>
    <cellStyle name="_Totaalsheet dec v10_Sheet1_1_FC categoraal" xfId="2765"/>
    <cellStyle name="_Totaalsheet dec v10_Sheet1_2" xfId="2766"/>
    <cellStyle name="_Totaalsheet dec v10_Sheet1_2 2" xfId="2767"/>
    <cellStyle name="_Totaalsheet dec v10_Sheet2" xfId="2768"/>
    <cellStyle name="_Totaalsheet nov v4" xfId="2769"/>
    <cellStyle name="_TotaalVerrekening  effect besluit Steven 14-12-2006 30-1-2007 (2)" xfId="442"/>
    <cellStyle name="_Totale aantallen 2011_2012" xfId="5869"/>
    <cellStyle name="_TR004OMONE sep (definitief)" xfId="2770"/>
    <cellStyle name="_TRADER MEDIA - 08 M.Twiggs" xfId="2771"/>
    <cellStyle name="_Tranferpricing input Zakelijk markt (MH07122006)" xfId="443"/>
    <cellStyle name="_Transitoria Totaal sept  2007 naar control (met correctie 01-10-2007)" xfId="2772"/>
    <cellStyle name="_Transitoria Totaal sept  2007 naar control (met correctie 01-10-2007) 2" xfId="2773"/>
    <cellStyle name="_Transitoria Totaal sept  2007 naar control (met correctie 01-10-2007) 2 2" xfId="5870"/>
    <cellStyle name="_Transitoria Totaal sept  2007 naar control (met correctie 01-10-2007) 3" xfId="5871"/>
    <cellStyle name="_Transitoria Totaal sept  2007 naar control (met correctie 01-10-2007) 3 2" xfId="5872"/>
    <cellStyle name="_Transitoria Totaal sept  2007 naar control (met correctie 01-10-2007) 4" xfId="5873"/>
    <cellStyle name="_Transitoria Totaal sept  2007 naar control (met correctie 01-10-2007) 5" xfId="5874"/>
    <cellStyle name="_Transitoria Totaal sept  2007 naar control (met correctie 01-10-2007)_Blad2" xfId="2774"/>
    <cellStyle name="_Transitoria Totaal sept  2007 naar control (met correctie 01-10-2007)_Blad2 2" xfId="2775"/>
    <cellStyle name="_Transitoria Totaal sept  2007 naar control (met correctie 01-10-2007)_Blad2_JP2011" xfId="2776"/>
    <cellStyle name="_Transitoria Totaal sept  2007 naar control (met correctie 01-10-2007)_JP2011" xfId="2777"/>
    <cellStyle name="_Transitoria Totaal sept  2007 naar control (met correctie 01-10-2007)_Model Plan 2012" xfId="2778"/>
    <cellStyle name="_Trendanalyse 2009-2013 (MASTER met links naar SharePoint input) - 2011 structuur" xfId="5875"/>
    <cellStyle name="_trends in DC2, ov netwerkkn en (inter)nationale bandbreedte" xfId="5876"/>
    <cellStyle name="_TSS" xfId="444"/>
    <cellStyle name="_TSS 2" xfId="445"/>
    <cellStyle name="_TSS 3" xfId="2779"/>
    <cellStyle name="_tss Portfolio as of 102" xfId="446"/>
    <cellStyle name="_tss Portfolio as of 102 2" xfId="447"/>
    <cellStyle name="_tss Portfolio as of 102 3" xfId="2780"/>
    <cellStyle name="_tss Portfolio as of 102_ND5 squeeze model  whs-whs v2.21 DWDM ILL" xfId="2781"/>
    <cellStyle name="_TSS_ND5 squeeze model  whs-whs v2.21 DWDM ILL" xfId="2782"/>
    <cellStyle name="_Uitkoppelsqueezing tov xDF_WBA CM ACTIE 20090629" xfId="448"/>
    <cellStyle name="_Uitvraagmodel JP CO 2007 vs1 2 (VDAS)" xfId="2783"/>
    <cellStyle name="_UNISON - 2008 (Steve Newton)" xfId="2784"/>
    <cellStyle name="_Update BPv2" xfId="2785"/>
    <cellStyle name="_Update BPv2 2" xfId="2786"/>
    <cellStyle name="_Update BPv2 2 2" xfId="5877"/>
    <cellStyle name="_Update BPv2 3" xfId="5878"/>
    <cellStyle name="_Update BPv2 3 2" xfId="5879"/>
    <cellStyle name="_Update BPv2 4" xfId="5880"/>
    <cellStyle name="_Update BPv2 5" xfId="5881"/>
    <cellStyle name="_Update BPv2_Blad2" xfId="2787"/>
    <cellStyle name="_Update BPv2_Blad2 2" xfId="2788"/>
    <cellStyle name="_Update BPv2_Blad2_JP2011" xfId="2789"/>
    <cellStyle name="_Update BPv2_JP2011" xfId="2790"/>
    <cellStyle name="_Update BPv2_Model Plan 2012" xfId="2791"/>
    <cellStyle name="_UPFST_IV funding O&amp;C-NS 09-2007" xfId="2792"/>
    <cellStyle name="_UPFST_IV funding O&amp;C-NS 09-2007 2" xfId="2793"/>
    <cellStyle name="_UPFST_IV funding O&amp;C-NS 09-2007 2 2" xfId="5882"/>
    <cellStyle name="_UPFST_IV funding O&amp;C-NS 09-2007 3" xfId="5883"/>
    <cellStyle name="_UPFST_IV funding O&amp;C-NS 09-2007 3 2" xfId="5884"/>
    <cellStyle name="_UPFST_IV funding O&amp;C-NS 09-2007 4" xfId="5885"/>
    <cellStyle name="_UPFST_IV funding O&amp;C-NS 09-2007 5" xfId="5886"/>
    <cellStyle name="_UPFST_IV funding O&amp;C-NS 09-2007_Blad2" xfId="2794"/>
    <cellStyle name="_UPFST_IV funding O&amp;C-NS 09-2007_Blad2 2" xfId="2795"/>
    <cellStyle name="_UPFST_IV funding O&amp;C-NS 09-2007_Blad2_JP2011" xfId="2796"/>
    <cellStyle name="_UPFST_IV funding O&amp;C-NS 09-2007_JP2011" xfId="2797"/>
    <cellStyle name="_UPFST_IV funding O&amp;C-NS 09-2007_Model Plan 2012" xfId="2798"/>
    <cellStyle name="_USS totaal v3_leontine NS" xfId="2799"/>
    <cellStyle name="_USS totaal v3_leontine NS 2" xfId="2800"/>
    <cellStyle name="_USS totaal v3_leontine NS 2 2" xfId="5887"/>
    <cellStyle name="_USS totaal v3_leontine NS 3" xfId="5888"/>
    <cellStyle name="_USS totaal v3_leontine NS 3 2" xfId="5889"/>
    <cellStyle name="_USS totaal v3_leontine NS 4" xfId="5890"/>
    <cellStyle name="_USS totaal v3_leontine NS 5" xfId="5891"/>
    <cellStyle name="_USS totaal v3_leontine NS_Blad2" xfId="2801"/>
    <cellStyle name="_USS totaal v3_leontine NS_Blad2 2" xfId="2802"/>
    <cellStyle name="_USS totaal v3_leontine NS_Blad2_JP2011" xfId="2803"/>
    <cellStyle name="_USS totaal v3_leontine NS_JP2011" xfId="2804"/>
    <cellStyle name="_USS totaal v3_leontine NS_Model Plan 2012" xfId="2805"/>
    <cellStyle name="_USS Zm (definitief v5) test set NS oud-nieuw" xfId="2806"/>
    <cellStyle name="_USS Zm (definitief v5) test set NS oud-nieuw 2" xfId="2807"/>
    <cellStyle name="_USS Zm (definitief v5) test set NS oud-nieuw 2 2" xfId="5892"/>
    <cellStyle name="_USS Zm (definitief v5) test set NS oud-nieuw 3" xfId="5893"/>
    <cellStyle name="_USS Zm (definitief v5) test set NS oud-nieuw 3 2" xfId="5894"/>
    <cellStyle name="_USS Zm (definitief v5) test set NS oud-nieuw 4" xfId="5895"/>
    <cellStyle name="_USS Zm (definitief v5) test set NS oud-nieuw 5" xfId="5896"/>
    <cellStyle name="_USS Zm (definitief v5) test set NS oud-nieuw_Blad2" xfId="2808"/>
    <cellStyle name="_USS Zm (definitief v5) test set NS oud-nieuw_Blad2 2" xfId="2809"/>
    <cellStyle name="_USS Zm (definitief v5) test set NS oud-nieuw_Blad2_JP2011" xfId="2810"/>
    <cellStyle name="_USS Zm (definitief v5) test set NS oud-nieuw_JP2011" xfId="2811"/>
    <cellStyle name="_USS Zm (definitief v5) test set NS oud-nieuw_Model Plan 2012" xfId="2812"/>
    <cellStyle name="_V&amp;W VT feb 04 versie Is_8mrt" xfId="449"/>
    <cellStyle name="_V&amp;W VT feb 04 versie Is_8mrt 2" xfId="450"/>
    <cellStyle name="_V&amp;W VT feb 04 versie Is_8mrt 2 2" xfId="5897"/>
    <cellStyle name="_V&amp;W VT feb 04 versie Is_8mrt 3" xfId="2813"/>
    <cellStyle name="_V&amp;W VT feb 04 versie Is_8mrt 3 2" xfId="5898"/>
    <cellStyle name="_V&amp;W VT feb 04 versie Is_8mrt 4" xfId="5899"/>
    <cellStyle name="_V&amp;W VT feb 04 versie Is_8mrt 5" xfId="5900"/>
    <cellStyle name="_V&amp;W VT feb 04 versie Is_8mrt_110810_Overzicht_Orderintake" xfId="5901"/>
    <cellStyle name="_V&amp;W VT feb 04 versie Is_8mrt_20080530 Consolidatie Businessplan v12" xfId="2814"/>
    <cellStyle name="_V&amp;W VT feb 04 versie Is_8mrt_20080530 Consolidatie Businessplan v12 2" xfId="2815"/>
    <cellStyle name="_V&amp;W VT feb 04 versie Is_8mrt_20080530 Consolidatie Businessplan v12 2 2" xfId="5902"/>
    <cellStyle name="_V&amp;W VT feb 04 versie Is_8mrt_20080530 Consolidatie Businessplan v12 3" xfId="5903"/>
    <cellStyle name="_V&amp;W VT feb 04 versie Is_8mrt_20080530 Consolidatie Businessplan v12 3 2" xfId="5904"/>
    <cellStyle name="_V&amp;W VT feb 04 versie Is_8mrt_20080530 Consolidatie Businessplan v12 4" xfId="5905"/>
    <cellStyle name="_V&amp;W VT feb 04 versie Is_8mrt_20080530 Consolidatie Businessplan v12 5" xfId="5906"/>
    <cellStyle name="_V&amp;W VT feb 04 versie Is_8mrt_20080530 Consolidatie Businessplan v12_Blad2" xfId="2816"/>
    <cellStyle name="_V&amp;W VT feb 04 versie Is_8mrt_20080530 Consolidatie Businessplan v12_Blad2 2" xfId="2817"/>
    <cellStyle name="_V&amp;W VT feb 04 versie Is_8mrt_20080530 Consolidatie Businessplan v12_Blad2_JP2011" xfId="2818"/>
    <cellStyle name="_V&amp;W VT feb 04 versie Is_8mrt_20080530 Consolidatie Businessplan v12_JP2011" xfId="2819"/>
    <cellStyle name="_V&amp;W VT feb 04 versie Is_8mrt_20080530 Consolidatie Businessplan v12_Model Plan 2012" xfId="2820"/>
    <cellStyle name="_V&amp;W VT feb 04 versie Is_8mrt_20080605 Consolidatie Businessplan v15" xfId="2821"/>
    <cellStyle name="_V&amp;W VT feb 04 versie Is_8mrt_20080605 Consolidatie Businessplan v15 2" xfId="2822"/>
    <cellStyle name="_V&amp;W VT feb 04 versie Is_8mrt_20080605 Consolidatie Businessplan v15 2 2" xfId="5907"/>
    <cellStyle name="_V&amp;W VT feb 04 versie Is_8mrt_20080605 Consolidatie Businessplan v15 3" xfId="5908"/>
    <cellStyle name="_V&amp;W VT feb 04 versie Is_8mrt_20080605 Consolidatie Businessplan v15 3 2" xfId="5909"/>
    <cellStyle name="_V&amp;W VT feb 04 versie Is_8mrt_20080605 Consolidatie Businessplan v15 4" xfId="5910"/>
    <cellStyle name="_V&amp;W VT feb 04 versie Is_8mrt_20080605 Consolidatie Businessplan v15 5" xfId="5911"/>
    <cellStyle name="_V&amp;W VT feb 04 versie Is_8mrt_20080605 Consolidatie Businessplan v15_Blad2" xfId="2823"/>
    <cellStyle name="_V&amp;W VT feb 04 versie Is_8mrt_20080605 Consolidatie Businessplan v15_Blad2 2" xfId="2824"/>
    <cellStyle name="_V&amp;W VT feb 04 versie Is_8mrt_20080605 Consolidatie Businessplan v15_Blad2_JP2011" xfId="2825"/>
    <cellStyle name="_V&amp;W VT feb 04 versie Is_8mrt_20080605 Consolidatie Businessplan v15_JP2011" xfId="2826"/>
    <cellStyle name="_V&amp;W VT feb 04 versie Is_8mrt_20080605 Consolidatie Businessplan v15_Model Plan 2012" xfId="2827"/>
    <cellStyle name="_V&amp;W VT feb 04 versie Is_8mrt_20080605 Consolidatie Businessplan v19" xfId="2828"/>
    <cellStyle name="_V&amp;W VT feb 04 versie Is_8mrt_20080605 Consolidatie Businessplan v19 2" xfId="2829"/>
    <cellStyle name="_V&amp;W VT feb 04 versie Is_8mrt_20080605 Consolidatie Businessplan v19 2 2" xfId="5912"/>
    <cellStyle name="_V&amp;W VT feb 04 versie Is_8mrt_20080605 Consolidatie Businessplan v19 3" xfId="5913"/>
    <cellStyle name="_V&amp;W VT feb 04 versie Is_8mrt_20080605 Consolidatie Businessplan v19 3 2" xfId="5914"/>
    <cellStyle name="_V&amp;W VT feb 04 versie Is_8mrt_20080605 Consolidatie Businessplan v19 4" xfId="5915"/>
    <cellStyle name="_V&amp;W VT feb 04 versie Is_8mrt_20080605 Consolidatie Businessplan v19 5" xfId="5916"/>
    <cellStyle name="_V&amp;W VT feb 04 versie Is_8mrt_20080605 Consolidatie Businessplan v19_Blad2" xfId="2830"/>
    <cellStyle name="_V&amp;W VT feb 04 versie Is_8mrt_20080605 Consolidatie Businessplan v19_Blad2 2" xfId="2831"/>
    <cellStyle name="_V&amp;W VT feb 04 versie Is_8mrt_20080605 Consolidatie Businessplan v19_Blad2_JP2011" xfId="2832"/>
    <cellStyle name="_V&amp;W VT feb 04 versie Is_8mrt_20080605 Consolidatie Businessplan v19_JP2011" xfId="2833"/>
    <cellStyle name="_V&amp;W VT feb 04 versie Is_8mrt_20080605 Consolidatie Businessplan v19_Model Plan 2012" xfId="2834"/>
    <cellStyle name="_V&amp;W VT feb 04 versie Is_8mrt_BenI" xfId="5917"/>
    <cellStyle name="_V&amp;W VT feb 04 versie Is_8mrt_Blad2" xfId="2835"/>
    <cellStyle name="_V&amp;W VT feb 04 versie Is_8mrt_Blad2 2" xfId="2836"/>
    <cellStyle name="_V&amp;W VT feb 04 versie Is_8mrt_Blad2_JP2011" xfId="2837"/>
    <cellStyle name="_V&amp;W VT feb 04 versie Is_8mrt_Fixed Data" xfId="5918"/>
    <cellStyle name="_V&amp;W VT feb 04 versie Is_8mrt_JP2011" xfId="2838"/>
    <cellStyle name="_V&amp;W VT feb 04 versie Is_8mrt_Model Plan 2012" xfId="2839"/>
    <cellStyle name="_V&amp;W VT feb 04 versie Is_8mrt_ND5 squeeze model  whs-whs v2.21 DWDM ILL" xfId="2840"/>
    <cellStyle name="_V&amp;W VT feb 04 versie Is_8mrt_OIT data LE,SCM,INS,targets" xfId="5919"/>
    <cellStyle name="_V&amp;W VT feb 04 versie Is_8mrt_SWOL" xfId="5920"/>
    <cellStyle name="_Value buckets NL v11 ingevuld W&amp;O deel 3mrt2009 geschoond van wholesale markt" xfId="5921"/>
    <cellStyle name="_Value buckets NL v11 ingevuld W&amp;O deel 3mrt2009 geschoond van wholesale markt 2" xfId="5922"/>
    <cellStyle name="_Value buckets NL v11 ingevuld W&amp;O deel 3mrt2009 geschoond van wholesale markt 2 2" xfId="5923"/>
    <cellStyle name="_Value buckets NL v11 ingevuld W&amp;O deel 3mrt2009 geschoond van wholesale markt 3" xfId="5924"/>
    <cellStyle name="_Value buckets NL v11 ingevuld W&amp;O deel 3mrt2009 geschoond van wholesale markt 3 2" xfId="5925"/>
    <cellStyle name="_Value buckets NL v11 ingevuld W&amp;O deel 3mrt2009 geschoond van wholesale markt 4" xfId="5926"/>
    <cellStyle name="_Value buckets NL v11 ingevuld W&amp;O deel 3mrt2009 geschoond van wholesale markt 5" xfId="5927"/>
    <cellStyle name="_VAMO allocatie 6_RF_BVB" xfId="2841"/>
    <cellStyle name="_VAMO allocatie 6_RF_BVB 2" xfId="2842"/>
    <cellStyle name="_VAMO allocatie 6_RF_BVB 2 2" xfId="5928"/>
    <cellStyle name="_VAMO allocatie 6_RF_BVB 3" xfId="5929"/>
    <cellStyle name="_VAMO allocatie 6_RF_BVB 3 2" xfId="5930"/>
    <cellStyle name="_VAMO allocatie 6_RF_BVB 4" xfId="5931"/>
    <cellStyle name="_VAMO allocatie 6_RF_BVB 5" xfId="5932"/>
    <cellStyle name="_VAMO allocatie 6_RF_BVB_Blad2" xfId="2843"/>
    <cellStyle name="_VAMO allocatie 6_RF_BVB_Blad2 2" xfId="2844"/>
    <cellStyle name="_VAMO allocatie 6_RF_BVB_Blad2_JP2011" xfId="2845"/>
    <cellStyle name="_VAMO allocatie 6_RF_BVB_JP2011" xfId="2846"/>
    <cellStyle name="_VAMO allocatie 6_RF_BVB_Model Plan 2012" xfId="2847"/>
    <cellStyle name="_Verdeelsleutels CU P&amp;L 2007 v4" xfId="2848"/>
    <cellStyle name="_Verdeling BM BP2008 naar PFM v2" xfId="2849"/>
    <cellStyle name="_Verdienend Vermogen" xfId="2850"/>
    <cellStyle name="_Verkeersanalyse ZM Renald sep09v2" xfId="5933"/>
    <cellStyle name="_Verkeerstarieven-v83 (15-07-2006)" xfId="451"/>
    <cellStyle name="_verrekening 24-12-2007 - update 15-1-08" xfId="2851"/>
    <cellStyle name="_Verrekening NS-CS (oud-IMS portfolio) maart 07" xfId="2852"/>
    <cellStyle name="_verrekening producten 11b-12-2006 WSO + ZM evpn lrac 5jr" xfId="452"/>
    <cellStyle name="_verrekening producten 4-12-2006 WSO + ZM evpn lrac 5jr" xfId="453"/>
    <cellStyle name="_verrekening producten 7-12-2006 WSO + ZM evpn lrac 5jr" xfId="454"/>
    <cellStyle name="_Verzoek aanpassen boekingssleutels IV VP 302 20070419" xfId="455"/>
    <cellStyle name="_vodsl verrekeningen  jul 2006" xfId="2853"/>
    <cellStyle name="_voice-data acq ret en churn per kanaal 2009-2010 (2)" xfId="5934"/>
    <cellStyle name="_voice-data acq ret en churn per kanaal 2009-2010 (2) 2" xfId="5935"/>
    <cellStyle name="_voice-data acq ret en churn per kanaal 2009-2010 (2) 2 2" xfId="5936"/>
    <cellStyle name="_voice-data acq ret en churn per kanaal 2009-2010 (2) 3" xfId="5937"/>
    <cellStyle name="_voice-data acq ret en churn per kanaal 2009-2010 (2) 3 2" xfId="5938"/>
    <cellStyle name="_voice-data acq ret en churn per kanaal 2009-2010 (2) 4" xfId="5939"/>
    <cellStyle name="_voice-data acq ret en churn per kanaal 2009-2010 (2) 5" xfId="5940"/>
    <cellStyle name="_voicePQ" xfId="5941"/>
    <cellStyle name="_Volume table BU CS Q3 04" xfId="2854"/>
    <cellStyle name="_Volume table BU CS Q3 04 2" xfId="2855"/>
    <cellStyle name="_Volume table BU CS Q3 04 2 2" xfId="5942"/>
    <cellStyle name="_Volume table BU CS Q3 04 3" xfId="5943"/>
    <cellStyle name="_Volume table BU CS Q3 04 3 2" xfId="5944"/>
    <cellStyle name="_Volume table BU CS Q3 04 4" xfId="5945"/>
    <cellStyle name="_Volume table BU CS Q3 04 5" xfId="5946"/>
    <cellStyle name="_Volume table BU CS Q3 04_FC categoraal" xfId="2856"/>
    <cellStyle name="_Volume table BU CS Q3 04_GDC nieuwe pfc cc jan  2011 v4" xfId="2857"/>
    <cellStyle name="_Volume table BU CS Q3 04_JP2011" xfId="2858"/>
    <cellStyle name="_Volume table BU CS Q3 04_JP2011 2" xfId="2859"/>
    <cellStyle name="_Volume table BU CS Q3 04_JP2011_1" xfId="2860"/>
    <cellStyle name="_Volume table BU CS Q3 04_Pivot" xfId="5947"/>
    <cellStyle name="_Volume table BU CS Q3 04_PPT Link" xfId="5948"/>
    <cellStyle name="_Volume table BU CS Q3 04_Preclosing" xfId="2861"/>
    <cellStyle name="_Volume table BU CS Q3 04_Preclosing 2" xfId="2862"/>
    <cellStyle name="_Volume table BU CS Q3 04_Preclosing jan11" xfId="2863"/>
    <cellStyle name="_Volume table BU CS Q3 04_Preclosing_1" xfId="2864"/>
    <cellStyle name="_Volume table BU CS Q3 04_Preclosing_2" xfId="2865"/>
    <cellStyle name="_Volume table BU CS Q3 04_Preclosing_3" xfId="2866"/>
    <cellStyle name="_Volume table BU CS Q3 04_Preclosing_FC categoraal" xfId="2867"/>
    <cellStyle name="_Volume table BU CS Q3 04_Sheet1" xfId="2868"/>
    <cellStyle name="_Volume table BU CS Q3 04_Sheet1_1" xfId="2869"/>
    <cellStyle name="_Volume table BU CS Q3 04_Sheet1_1 2" xfId="2870"/>
    <cellStyle name="_Volume table BU CS Q3 04_Sheet1_1_FC categoraal" xfId="2871"/>
    <cellStyle name="_Volume table BU CS Q3 04_Sheet1_2" xfId="2872"/>
    <cellStyle name="_Volume table BU CS Q3 04_Sheet1_2 2" xfId="2873"/>
    <cellStyle name="_Volume table BU CS Q3 04_Sheet2" xfId="2874"/>
    <cellStyle name="_voorbladen twee" xfId="5949"/>
    <cellStyle name="_voorbladen twee 2" xfId="5950"/>
    <cellStyle name="_voorbladen twee 2 2" xfId="5951"/>
    <cellStyle name="_voorbladen twee 3" xfId="5952"/>
    <cellStyle name="_voorbladen twee 3 2" xfId="5953"/>
    <cellStyle name="_voorbladen twee 4" xfId="5954"/>
    <cellStyle name="_voorbladen twee 5" xfId="5955"/>
    <cellStyle name="_voorstel 2004 dd 22-1-2004" xfId="456"/>
    <cellStyle name="_voorstel 2004 dd 22-1-2004 2" xfId="457"/>
    <cellStyle name="_voorstel 2004 dd 22-1-2004 2 2" xfId="5956"/>
    <cellStyle name="_voorstel 2004 dd 22-1-2004 3" xfId="2875"/>
    <cellStyle name="_voorstel 2004 dd 22-1-2004 3 2" xfId="5957"/>
    <cellStyle name="_voorstel 2004 dd 22-1-2004 4" xfId="5958"/>
    <cellStyle name="_voorstel 2004 dd 22-1-2004 5" xfId="5959"/>
    <cellStyle name="_voorstel 2004 dd 22-1-2004_ND5 squeeze model  whs-whs v2.21 DWDM ILL" xfId="2876"/>
    <cellStyle name="_VVV 2006 plan per Subsegment v6.5" xfId="458"/>
    <cellStyle name="_VVV 2006 plan per Subsegment v6.5 2" xfId="459"/>
    <cellStyle name="_VVV 2006 plan per Subsegment v6.5 2 2" xfId="5960"/>
    <cellStyle name="_VVV 2006 plan per Subsegment v6.5 3" xfId="2877"/>
    <cellStyle name="_VVV 2006 plan per Subsegment v6.5 3 2" xfId="5961"/>
    <cellStyle name="_VVV 2006 plan per Subsegment v6.5 4" xfId="5962"/>
    <cellStyle name="_VVV 2006 plan per Subsegment v6.5 5" xfId="5963"/>
    <cellStyle name="_VVV 2006 plan per Subsegment v6.5_Blad2" xfId="2878"/>
    <cellStyle name="_VVV 2006 plan per Subsegment v6.5_Blad2 2" xfId="2879"/>
    <cellStyle name="_VVV 2006 plan per Subsegment v6.5_Blad2_JP2011" xfId="2880"/>
    <cellStyle name="_VVV 2006 plan per Subsegment v6.5_JP2011" xfId="2881"/>
    <cellStyle name="_VVV 2006 plan per Subsegment v6.5_Model Plan 2012" xfId="2882"/>
    <cellStyle name="_VVV 2006 plan per Subsegment v6.5_ND5 squeeze model  whs-whs v2.21 DWDM ILL" xfId="2883"/>
    <cellStyle name="_VVV 2006 plan per Subsegment v6.5_OIT data LE,SCM,INS,targets" xfId="5964"/>
    <cellStyle name="_W&amp;O Beheer - afgesloten orders januari 2007 werk (2)" xfId="2884"/>
    <cellStyle name="_WBA annex 4 CM v2.0a" xfId="460"/>
    <cellStyle name="_WBA annex 4 CM v2.0a_EVPN Model_20102601_v0.1" xfId="461"/>
    <cellStyle name="_WBA annex 4 CM v2.0a_ZM IS Data Tarievenboek 2010-03-11" xfId="462"/>
    <cellStyle name="_WBA annex 4 ZM ATM v2.0" xfId="463"/>
    <cellStyle name="_WBA annex 4 ZM ATM v2.0_EVPN Model_20102601_v0.1" xfId="464"/>
    <cellStyle name="_WBA annex 4 ZM ATM v2.0_ND5 squeeze model  whs-whs v2.21 DWDM ILL" xfId="2885"/>
    <cellStyle name="_WBA annex 4 ZM ATM v2.0_ZM IS Data Tarievenboek 2010-03-11" xfId="465"/>
    <cellStyle name="_WEAS pricing versie" xfId="2886"/>
    <cellStyle name="_WEAS pricing_v3" xfId="466"/>
    <cellStyle name="_Werkblad like for like" xfId="5965"/>
    <cellStyle name="_Werkblad like for like 2" xfId="5966"/>
    <cellStyle name="_Werkblad like for like 2 2" xfId="5967"/>
    <cellStyle name="_Werkblad like for like 3" xfId="5968"/>
    <cellStyle name="_Werkblad like for like 3 2" xfId="5969"/>
    <cellStyle name="_Werkblad like for like 4" xfId="5970"/>
    <cellStyle name="_Werkblad like for like 5" xfId="5971"/>
    <cellStyle name="_Werkblad uit BO klantprojectmanagement business afstemming februari 2007" xfId="2887"/>
    <cellStyle name="_White spot tabel tbv reviews" xfId="5972"/>
    <cellStyle name="_Wholesale installatieactiviteiten per pakket WMP 240707" xfId="467"/>
    <cellStyle name="_Wk16" xfId="468"/>
    <cellStyle name="_Wk16 2" xfId="469"/>
    <cellStyle name="_Wk16 2 2" xfId="5973"/>
    <cellStyle name="_Wk16 3" xfId="2888"/>
    <cellStyle name="_Wk16 3 2" xfId="5974"/>
    <cellStyle name="_Wk16 4" xfId="5975"/>
    <cellStyle name="_Wk16 5" xfId="5976"/>
    <cellStyle name="_Wk16_110810_Overzicht_Orderintake" xfId="5977"/>
    <cellStyle name="_Wk16_20080530 Consolidatie Businessplan v12" xfId="2889"/>
    <cellStyle name="_Wk16_20080530 Consolidatie Businessplan v12 2" xfId="2890"/>
    <cellStyle name="_Wk16_20080530 Consolidatie Businessplan v12 2 2" xfId="5978"/>
    <cellStyle name="_Wk16_20080530 Consolidatie Businessplan v12 3" xfId="5979"/>
    <cellStyle name="_Wk16_20080530 Consolidatie Businessplan v12 3 2" xfId="5980"/>
    <cellStyle name="_Wk16_20080530 Consolidatie Businessplan v12 4" xfId="5981"/>
    <cellStyle name="_Wk16_20080530 Consolidatie Businessplan v12 5" xfId="5982"/>
    <cellStyle name="_Wk16_20080530 Consolidatie Businessplan v12_Blad2" xfId="2891"/>
    <cellStyle name="_Wk16_20080530 Consolidatie Businessplan v12_Blad2 2" xfId="2892"/>
    <cellStyle name="_Wk16_20080530 Consolidatie Businessplan v12_Blad2_JP2011" xfId="2893"/>
    <cellStyle name="_Wk16_20080530 Consolidatie Businessplan v12_JP2011" xfId="2894"/>
    <cellStyle name="_Wk16_20080530 Consolidatie Businessplan v12_Model Plan 2012" xfId="2895"/>
    <cellStyle name="_Wk16_20080605 Consolidatie Businessplan v15" xfId="2896"/>
    <cellStyle name="_Wk16_20080605 Consolidatie Businessplan v15 2" xfId="2897"/>
    <cellStyle name="_Wk16_20080605 Consolidatie Businessplan v15 2 2" xfId="5983"/>
    <cellStyle name="_Wk16_20080605 Consolidatie Businessplan v15 3" xfId="5984"/>
    <cellStyle name="_Wk16_20080605 Consolidatie Businessplan v15 3 2" xfId="5985"/>
    <cellStyle name="_Wk16_20080605 Consolidatie Businessplan v15 4" xfId="5986"/>
    <cellStyle name="_Wk16_20080605 Consolidatie Businessplan v15 5" xfId="5987"/>
    <cellStyle name="_Wk16_20080605 Consolidatie Businessplan v15_Blad2" xfId="2898"/>
    <cellStyle name="_Wk16_20080605 Consolidatie Businessplan v15_Blad2 2" xfId="2899"/>
    <cellStyle name="_Wk16_20080605 Consolidatie Businessplan v15_Blad2_JP2011" xfId="2900"/>
    <cellStyle name="_Wk16_20080605 Consolidatie Businessplan v15_JP2011" xfId="2901"/>
    <cellStyle name="_Wk16_20080605 Consolidatie Businessplan v15_Model Plan 2012" xfId="2902"/>
    <cellStyle name="_Wk16_20080605 Consolidatie Businessplan v19" xfId="2903"/>
    <cellStyle name="_Wk16_20080605 Consolidatie Businessplan v19 2" xfId="2904"/>
    <cellStyle name="_Wk16_20080605 Consolidatie Businessplan v19 2 2" xfId="5988"/>
    <cellStyle name="_Wk16_20080605 Consolidatie Businessplan v19 3" xfId="5989"/>
    <cellStyle name="_Wk16_20080605 Consolidatie Businessplan v19 3 2" xfId="5990"/>
    <cellStyle name="_Wk16_20080605 Consolidatie Businessplan v19 4" xfId="5991"/>
    <cellStyle name="_Wk16_20080605 Consolidatie Businessplan v19 5" xfId="5992"/>
    <cellStyle name="_Wk16_20080605 Consolidatie Businessplan v19_Blad2" xfId="2905"/>
    <cellStyle name="_Wk16_20080605 Consolidatie Businessplan v19_Blad2 2" xfId="2906"/>
    <cellStyle name="_Wk16_20080605 Consolidatie Businessplan v19_Blad2_JP2011" xfId="2907"/>
    <cellStyle name="_Wk16_20080605 Consolidatie Businessplan v19_JP2011" xfId="2908"/>
    <cellStyle name="_Wk16_20080605 Consolidatie Businessplan v19_Model Plan 2012" xfId="2909"/>
    <cellStyle name="_Wk16_BenI" xfId="5993"/>
    <cellStyle name="_Wk16_Blad2" xfId="2910"/>
    <cellStyle name="_Wk16_Blad2 2" xfId="2911"/>
    <cellStyle name="_Wk16_Blad2_JP2011" xfId="2912"/>
    <cellStyle name="_Wk16_Fixed Data" xfId="5994"/>
    <cellStyle name="_Wk16_JP2011" xfId="2913"/>
    <cellStyle name="_Wk16_Model Plan 2012" xfId="2914"/>
    <cellStyle name="_Wk16_ND5 squeeze model  whs-whs v2.21 DWDM ILL" xfId="2915"/>
    <cellStyle name="_Wk16_OIT data LE,SCM,INS,targets" xfId="5995"/>
    <cellStyle name="_Wk16_SWOL" xfId="5996"/>
    <cellStyle name="_WMP LRIC kostenmodel v 0.1" xfId="470"/>
    <cellStyle name="_working capital" xfId="2916"/>
    <cellStyle name="_working capital 2" xfId="2917"/>
    <cellStyle name="_working capital_Blad2" xfId="2918"/>
    <cellStyle name="_working capital_Blad2 2" xfId="2919"/>
    <cellStyle name="_working capital_Blad2_JP2011" xfId="2920"/>
    <cellStyle name="_working capital_ICS plan 2010 origineel v9 10-09" xfId="2921"/>
    <cellStyle name="_working capital_JP2011" xfId="2922"/>
    <cellStyle name="_working capital_Maand Capex" xfId="2923"/>
    <cellStyle name="_working capital_Maand Capex 2" xfId="2924"/>
    <cellStyle name="_working capital_Maand Capex_Blad2" xfId="2925"/>
    <cellStyle name="_working capital_Maand Capex_Blad2 2" xfId="2926"/>
    <cellStyle name="_working capital_Maand Capex_Blad2_JP2011" xfId="2927"/>
    <cellStyle name="_working capital_Maand Capex_JP2011" xfId="2928"/>
    <cellStyle name="_working capital_ML_Generic_1 1 input Capex incl maandplan_v2" xfId="2929"/>
    <cellStyle name="_working capital_Model Plan 2012" xfId="2930"/>
    <cellStyle name="_WPC EDCS TOTAAL 090316_025_VVE" xfId="471"/>
    <cellStyle name="_WPC EDCS TOTAAL 090316_025_VVE 2" xfId="2931"/>
    <cellStyle name="_WPC EDCS TOTAAL 090316_025_VVE 2 2" xfId="2932"/>
    <cellStyle name="_WPC EDCS TOTAAL 090316_025_VVE_EVPN Model_20102601_v0.1" xfId="472"/>
    <cellStyle name="_WPC EDCS TOTAAL 090316_025_VVE_KWT IS Data 2010-10-07" xfId="2933"/>
    <cellStyle name="_WPC EDCS TOTAAL 090316_025_VVE_ND5 squeeze model  whs-whs v2.21 DWDM ILL" xfId="2934"/>
    <cellStyle name="_WPC EDCS TOTAAL 090316_025_VVE_ZM IS Data Tarievenboek 2010-03-11" xfId="473"/>
    <cellStyle name="_WvS-Nationaal_en_Internationaal_tbv_RvB-2003-46" xfId="5997"/>
    <cellStyle name="_WvS-Nationaal_en_Internationaal_tbv_RvB-2003-46 2" xfId="5998"/>
    <cellStyle name="_WvS-Nationaal_en_Internationaal_tbv_RvB-2003-46 2 2" xfId="5999"/>
    <cellStyle name="_WvS-Nationaal_en_Internationaal_tbv_RvB-2003-46 3" xfId="6000"/>
    <cellStyle name="_WvS-Nationaal_en_Internationaal_tbv_RvB-2003-46 3 2" xfId="6001"/>
    <cellStyle name="_WvS-Nationaal_en_Internationaal_tbv_RvB-2003-46 4" xfId="6002"/>
    <cellStyle name="_WvS-Nationaal_en_Internationaal_tbv_RvB-2003-46 5" xfId="6003"/>
    <cellStyle name="_WvS-Nationaal_en_Internationaal_tbv_RvB-2003-47" xfId="6004"/>
    <cellStyle name="_WvS-Nationaal_en_Internationaal_tbv_RvB-2003-47 2" xfId="6005"/>
    <cellStyle name="_WvS-Nationaal_en_Internationaal_tbv_RvB-2003-47 2 2" xfId="6006"/>
    <cellStyle name="_WvS-Nationaal_en_Internationaal_tbv_RvB-2003-47 3" xfId="6007"/>
    <cellStyle name="_WvS-Nationaal_en_Internationaal_tbv_RvB-2003-47 3 2" xfId="6008"/>
    <cellStyle name="_WvS-Nationaal_en_Internationaal_tbv_RvB-2003-47 4" xfId="6009"/>
    <cellStyle name="_WvS-Nationaal_en_Internationaal_tbv_RvB-2003-47 5" xfId="6010"/>
    <cellStyle name="_WvS-Nationaal_en_Internationaal_tbv_RvB-2004-02" xfId="6011"/>
    <cellStyle name="_WvS-Nationaal_en_Internationaal_tbv_RvB-2004-02 2" xfId="6012"/>
    <cellStyle name="_WvS-Nationaal_en_Internationaal_tbv_RvB-2004-02 2 2" xfId="6013"/>
    <cellStyle name="_WvS-Nationaal_en_Internationaal_tbv_RvB-2004-02 3" xfId="6014"/>
    <cellStyle name="_WvS-Nationaal_en_Internationaal_tbv_RvB-2004-02 3 2" xfId="6015"/>
    <cellStyle name="_WvS-Nationaal_en_Internationaal_tbv_RvB-2004-02 4" xfId="6016"/>
    <cellStyle name="_WvS-Nationaal_en_Internationaal_tbv_RvB-2004-02 5" xfId="6017"/>
    <cellStyle name="_YEE CAPEX CM incl tel nrs contactpersonen" xfId="6018"/>
    <cellStyle name="_YEE CAPEX CM incl tel nrs contactpersonen (2)" xfId="6019"/>
    <cellStyle name="_YEE CAPEX CM incl tel nrs contactpersonen (2) 2" xfId="6020"/>
    <cellStyle name="_YEE CAPEX CM incl tel nrs contactpersonen (2) 2 2" xfId="6021"/>
    <cellStyle name="_YEE CAPEX CM incl tel nrs contactpersonen (2) 3" xfId="6022"/>
    <cellStyle name="_YEE CAPEX CM incl tel nrs contactpersonen (2) 3 2" xfId="6023"/>
    <cellStyle name="_YEE CAPEX CM incl tel nrs contactpersonen (2) 4" xfId="6024"/>
    <cellStyle name="_YEE CAPEX CM incl tel nrs contactpersonen (2) 5" xfId="6025"/>
    <cellStyle name="_YEE CAPEX CM incl tel nrs contactpersonen 10" xfId="6026"/>
    <cellStyle name="_YEE CAPEX CM incl tel nrs contactpersonen 10 2" xfId="6027"/>
    <cellStyle name="_YEE CAPEX CM incl tel nrs contactpersonen 11" xfId="6028"/>
    <cellStyle name="_YEE CAPEX CM incl tel nrs contactpersonen 11 2" xfId="6029"/>
    <cellStyle name="_YEE CAPEX CM incl tel nrs contactpersonen 12" xfId="6030"/>
    <cellStyle name="_YEE CAPEX CM incl tel nrs contactpersonen 12 2" xfId="6031"/>
    <cellStyle name="_YEE CAPEX CM incl tel nrs contactpersonen 13" xfId="6032"/>
    <cellStyle name="_YEE CAPEX CM incl tel nrs contactpersonen 13 2" xfId="6033"/>
    <cellStyle name="_YEE CAPEX CM incl tel nrs contactpersonen 14" xfId="6034"/>
    <cellStyle name="_YEE CAPEX CM incl tel nrs contactpersonen 14 2" xfId="6035"/>
    <cellStyle name="_YEE CAPEX CM incl tel nrs contactpersonen 15" xfId="6036"/>
    <cellStyle name="_YEE CAPEX CM incl tel nrs contactpersonen 15 2" xfId="6037"/>
    <cellStyle name="_YEE CAPEX CM incl tel nrs contactpersonen 16" xfId="6038"/>
    <cellStyle name="_YEE CAPEX CM incl tel nrs contactpersonen 16 2" xfId="6039"/>
    <cellStyle name="_YEE CAPEX CM incl tel nrs contactpersonen 17" xfId="6040"/>
    <cellStyle name="_YEE CAPEX CM incl tel nrs contactpersonen 17 2" xfId="6041"/>
    <cellStyle name="_YEE CAPEX CM incl tel nrs contactpersonen 18" xfId="6042"/>
    <cellStyle name="_YEE CAPEX CM incl tel nrs contactpersonen 18 2" xfId="6043"/>
    <cellStyle name="_YEE CAPEX CM incl tel nrs contactpersonen 19" xfId="6044"/>
    <cellStyle name="_YEE CAPEX CM incl tel nrs contactpersonen 19 2" xfId="6045"/>
    <cellStyle name="_YEE CAPEX CM incl tel nrs contactpersonen 2" xfId="6046"/>
    <cellStyle name="_YEE CAPEX CM incl tel nrs contactpersonen 2 2" xfId="6047"/>
    <cellStyle name="_YEE CAPEX CM incl tel nrs contactpersonen 20" xfId="6048"/>
    <cellStyle name="_YEE CAPEX CM incl tel nrs contactpersonen 20 2" xfId="6049"/>
    <cellStyle name="_YEE CAPEX CM incl tel nrs contactpersonen 21" xfId="6050"/>
    <cellStyle name="_YEE CAPEX CM incl tel nrs contactpersonen 21 2" xfId="6051"/>
    <cellStyle name="_YEE CAPEX CM incl tel nrs contactpersonen 22" xfId="6052"/>
    <cellStyle name="_YEE CAPEX CM incl tel nrs contactpersonen 22 2" xfId="6053"/>
    <cellStyle name="_YEE CAPEX CM incl tel nrs contactpersonen 23" xfId="6054"/>
    <cellStyle name="_YEE CAPEX CM incl tel nrs contactpersonen 24" xfId="6055"/>
    <cellStyle name="_YEE CAPEX CM incl tel nrs contactpersonen 25" xfId="6056"/>
    <cellStyle name="_YEE CAPEX CM incl tel nrs contactpersonen 26" xfId="6057"/>
    <cellStyle name="_YEE CAPEX CM incl tel nrs contactpersonen 27" xfId="6058"/>
    <cellStyle name="_YEE CAPEX CM incl tel nrs contactpersonen 28" xfId="6059"/>
    <cellStyle name="_YEE CAPEX CM incl tel nrs contactpersonen 29" xfId="6060"/>
    <cellStyle name="_YEE CAPEX CM incl tel nrs contactpersonen 3" xfId="6061"/>
    <cellStyle name="_YEE CAPEX CM incl tel nrs contactpersonen 3 2" xfId="6062"/>
    <cellStyle name="_YEE CAPEX CM incl tel nrs contactpersonen 30" xfId="6063"/>
    <cellStyle name="_YEE CAPEX CM incl tel nrs contactpersonen 31" xfId="6064"/>
    <cellStyle name="_YEE CAPEX CM incl tel nrs contactpersonen 32" xfId="6065"/>
    <cellStyle name="_YEE CAPEX CM incl tel nrs contactpersonen 33" xfId="6066"/>
    <cellStyle name="_YEE CAPEX CM incl tel nrs contactpersonen 34" xfId="6067"/>
    <cellStyle name="_YEE CAPEX CM incl tel nrs contactpersonen 35" xfId="6068"/>
    <cellStyle name="_YEE CAPEX CM incl tel nrs contactpersonen 36" xfId="6069"/>
    <cellStyle name="_YEE CAPEX CM incl tel nrs contactpersonen 37" xfId="6070"/>
    <cellStyle name="_YEE CAPEX CM incl tel nrs contactpersonen 38" xfId="6071"/>
    <cellStyle name="_YEE CAPEX CM incl tel nrs contactpersonen 39" xfId="6072"/>
    <cellStyle name="_YEE CAPEX CM incl tel nrs contactpersonen 4" xfId="6073"/>
    <cellStyle name="_YEE CAPEX CM incl tel nrs contactpersonen 4 2" xfId="6074"/>
    <cellStyle name="_YEE CAPEX CM incl tel nrs contactpersonen 40" xfId="6075"/>
    <cellStyle name="_YEE CAPEX CM incl tel nrs contactpersonen 41" xfId="6076"/>
    <cellStyle name="_YEE CAPEX CM incl tel nrs contactpersonen 42" xfId="6077"/>
    <cellStyle name="_YEE CAPEX CM incl tel nrs contactpersonen 43" xfId="6078"/>
    <cellStyle name="_YEE CAPEX CM incl tel nrs contactpersonen 5" xfId="6079"/>
    <cellStyle name="_YEE CAPEX CM incl tel nrs contactpersonen 5 2" xfId="6080"/>
    <cellStyle name="_YEE CAPEX CM incl tel nrs contactpersonen 6" xfId="6081"/>
    <cellStyle name="_YEE CAPEX CM incl tel nrs contactpersonen 6 2" xfId="6082"/>
    <cellStyle name="_YEE CAPEX CM incl tel nrs contactpersonen 7" xfId="6083"/>
    <cellStyle name="_YEE CAPEX CM incl tel nrs contactpersonen 7 2" xfId="6084"/>
    <cellStyle name="_YEE CAPEX CM incl tel nrs contactpersonen 8" xfId="6085"/>
    <cellStyle name="_YEE CAPEX CM incl tel nrs contactpersonen 8 2" xfId="6086"/>
    <cellStyle name="_YEE CAPEX CM incl tel nrs contactpersonen 9" xfId="6087"/>
    <cellStyle name="_YEE CAPEX CM incl tel nrs contactpersonen 9 2" xfId="6088"/>
    <cellStyle name="_YEE-Template Carrier Services" xfId="474"/>
    <cellStyle name="_YEE-Template Carrier Services 2" xfId="475"/>
    <cellStyle name="_YEE-Template Carrier Services 3" xfId="2935"/>
    <cellStyle name="_YEE-Template Carrier Services_ND5 squeeze model  whs-whs v2.21 DWDM ILL" xfId="2936"/>
    <cellStyle name="_ZM de q van pfm vs bp 0.6" xfId="6089"/>
    <cellStyle name="_ZM de q van pfm vs bp 0.6 2" xfId="6090"/>
    <cellStyle name="_ZM de q van pfm vs bp 0.6 2 2" xfId="6091"/>
    <cellStyle name="_ZM de q van pfm vs bp 0.6 3" xfId="6092"/>
    <cellStyle name="_ZM de q van pfm vs bp 0.6 3 2" xfId="6093"/>
    <cellStyle name="_ZM de q van pfm vs bp 0.6 4" xfId="6094"/>
    <cellStyle name="_ZM de q van pfm vs bp 0.6 5" xfId="6095"/>
    <cellStyle name="_ZM maandverdeling YP_08 en RF_Q1" xfId="2937"/>
    <cellStyle name="_ZM Tot. per BL" xfId="6096"/>
    <cellStyle name="_ZM Tot. per BL 2" xfId="6097"/>
    <cellStyle name="_ZM Tot. per BL 2 2" xfId="6098"/>
    <cellStyle name="_ZM Tot. per BL 3" xfId="6099"/>
    <cellStyle name="_ZM Tot. per BL 3 2" xfId="6100"/>
    <cellStyle name="_ZM Tot. per BL 4" xfId="6101"/>
    <cellStyle name="_ZM Tot. per BL 5" xfId="6102"/>
    <cellStyle name="_ZM_NS_ProductP&amp;L sep with epacity waterfall" xfId="2938"/>
    <cellStyle name="_ZM_NS_ProductP&amp;L sep with epacity waterfall 2" xfId="2939"/>
    <cellStyle name="_ZM_NS_ProductP&amp;L sep with epacity waterfall 2 2" xfId="6103"/>
    <cellStyle name="_ZM_NS_ProductP&amp;L sep with epacity waterfall 3" xfId="6104"/>
    <cellStyle name="_ZM_NS_ProductP&amp;L sep with epacity waterfall 3 2" xfId="6105"/>
    <cellStyle name="_ZM_NS_ProductP&amp;L sep with epacity waterfall 4" xfId="6106"/>
    <cellStyle name="_ZM_NS_ProductP&amp;L sep with epacity waterfall 5" xfId="6107"/>
    <cellStyle name="_ZM_NS_ProductP&amp;L sep with epacity waterfall_Blad2" xfId="2940"/>
    <cellStyle name="_ZM_NS_ProductP&amp;L sep with epacity waterfall_Blad2 2" xfId="2941"/>
    <cellStyle name="_ZM_NS_ProductP&amp;L sep with epacity waterfall_Blad2_JP2011" xfId="2942"/>
    <cellStyle name="_ZM_NS_ProductP&amp;L sep with epacity waterfall_JP2011" xfId="2943"/>
    <cellStyle name="_ZM_NS_ProductP&amp;L sep with epacity waterfall_Model Plan 2012" xfId="2944"/>
    <cellStyle name="_ZM-verrekening voorb09" xfId="476"/>
    <cellStyle name="_ZM-verrekening voorb09 2" xfId="477"/>
    <cellStyle name="_ZM-verrekening voorb09 3" xfId="2945"/>
    <cellStyle name="_ZM-verrekening voorb09_ND5 squeeze model  whs-whs v2.21 DWDM ILL" xfId="2946"/>
    <cellStyle name="£ BP" xfId="6108"/>
    <cellStyle name="£ BP 2" xfId="6109"/>
    <cellStyle name="¥ JY" xfId="6110"/>
    <cellStyle name="¥ JY 2" xfId="6111"/>
    <cellStyle name="€/m²" xfId="2947"/>
    <cellStyle name="=C:\WINNT\SYSTEM32\COMMAND.COM" xfId="2948"/>
    <cellStyle name="=C:\WINNT\SYSTEM32\COMMAND.COM 2" xfId="2949"/>
    <cellStyle name="=C:\WINNT\SYSTEM32\COMMAND.COM 2 2" xfId="6112"/>
    <cellStyle name="=C:\WINNT\SYSTEM32\COMMAND.COM 3" xfId="6113"/>
    <cellStyle name="=C:\WINNT\SYSTEM32\COMMAND.COM 3 2" xfId="6114"/>
    <cellStyle name="=C:\WINNT\SYSTEM32\COMMAND.COM 4" xfId="6115"/>
    <cellStyle name="=C:\WINNT\SYSTEM32\COMMAND.COM 5" xfId="6116"/>
    <cellStyle name="0" xfId="6117"/>
    <cellStyle name="0%" xfId="6118"/>
    <cellStyle name="0% 2" xfId="6119"/>
    <cellStyle name="0% 2 2" xfId="6120"/>
    <cellStyle name="0% 3" xfId="6121"/>
    <cellStyle name="0% 3 2" xfId="6122"/>
    <cellStyle name="0% 4" xfId="6123"/>
    <cellStyle name="0% 5" xfId="6124"/>
    <cellStyle name="0,0_x000a__x000a_NA_x000a__x000a_" xfId="6125"/>
    <cellStyle name="0,0_x000a__x000a_NA_x000a__x000a_ 2" xfId="6126"/>
    <cellStyle name="0,0_x000a__x000a_NA_x000a__x000a_ 2 2" xfId="6127"/>
    <cellStyle name="0,0_x000a__x000a_NA_x000a__x000a_ 3" xfId="6128"/>
    <cellStyle name="0,0_x000a__x000a_NA_x000a__x000a_ 3 2" xfId="6129"/>
    <cellStyle name="0,0_x000a__x000a_NA_x000a__x000a_ 4" xfId="6130"/>
    <cellStyle name="0,0_x000a__x000a_NA_x000a__x000a_ 5" xfId="6131"/>
    <cellStyle name="0,0_x000d__x000a_NA_x000d__x000a_" xfId="478"/>
    <cellStyle name="0.0" xfId="6132"/>
    <cellStyle name="0.0%" xfId="6133"/>
    <cellStyle name="0.0_110329 PQ Challenge Linked to Sharepoint" xfId="6134"/>
    <cellStyle name="0.00" xfId="6135"/>
    <cellStyle name="0.00%" xfId="6136"/>
    <cellStyle name="0.0x" xfId="6137"/>
    <cellStyle name="0_101018 BP Check OLS" xfId="6138"/>
    <cellStyle name="0_101018 BP Check OLS_110329 PQ Challenge Linked to Sharepoint" xfId="6139"/>
    <cellStyle name="0_101018 BP Check OLS_110413 Outlook ZM Linked to Sharepoint" xfId="6140"/>
    <cellStyle name="0_110329 PQ Challenge Linked to Sharepoint" xfId="6141"/>
    <cellStyle name="0_110413 Outlook ZM Linked to Sharepoint" xfId="6142"/>
    <cellStyle name="0_ICT" xfId="6143"/>
    <cellStyle name="0_Malaysia model 8nov03" xfId="6144"/>
    <cellStyle name="0_Malaysia model 8nov03_110329 PQ Challenge Linked to Sharepoint" xfId="6145"/>
    <cellStyle name="0_Malaysia model 8nov03_110413 Outlook ZM Linked to Sharepoint" xfId="6146"/>
    <cellStyle name="0_Malaysia model 8nov03_ICT" xfId="6147"/>
    <cellStyle name="0_Malaysia model 8nov03_NL Spec Staf _ ICT" xfId="6148"/>
    <cellStyle name="0_Malaysia model 8nov03_Trendanalyse 2009-2013 (MASTER met links naar SharePoint input) - 2011 structuur" xfId="6149"/>
    <cellStyle name="0_Megafon model 5nov03" xfId="6150"/>
    <cellStyle name="0_Megafon model 5nov03_110329 PQ Challenge Linked to Sharepoint" xfId="6151"/>
    <cellStyle name="0_Megafon model 5nov03_110413 Outlook ZM Linked to Sharepoint" xfId="6152"/>
    <cellStyle name="0_Megafon model 5nov03_ICT" xfId="6153"/>
    <cellStyle name="0_Megafon model 5nov03_NL Spec Staf _ ICT" xfId="6154"/>
    <cellStyle name="0_Megafon model 5nov03_Trendanalyse 2009-2013 (MASTER met links naar SharePoint input) - 2011 structuur" xfId="6155"/>
    <cellStyle name="0_NewRef10" xfId="6156"/>
    <cellStyle name="0_NewRef10_110329 PQ Challenge Linked to Sharepoint" xfId="6157"/>
    <cellStyle name="0_NewRef10_110413 Outlook ZM Linked to Sharepoint" xfId="6158"/>
    <cellStyle name="0_NewRef10_ICT" xfId="6159"/>
    <cellStyle name="0_NewRef10_NL Spec Staf _ ICT" xfId="6160"/>
    <cellStyle name="0_NewRef10_Trendanalyse 2009-2013 (MASTER met links naar SharePoint input) - 2011 structuur" xfId="6161"/>
    <cellStyle name="0_NL Spec Staf _ ICT" xfId="6162"/>
    <cellStyle name="0_Trendanalyse 2009-2013 (MASTER met links naar SharePoint input) - 2011 structuur" xfId="6163"/>
    <cellStyle name="0000" xfId="2950"/>
    <cellStyle name="0000 2" xfId="6164"/>
    <cellStyle name="000000" xfId="2951"/>
    <cellStyle name="000000 2" xfId="6165"/>
    <cellStyle name="20% - Accent1 2" xfId="2952"/>
    <cellStyle name="20% - Accent1 2 2" xfId="6167"/>
    <cellStyle name="20% - Accent1 2 2 2" xfId="6168"/>
    <cellStyle name="20% - Accent1 2 3" xfId="6166"/>
    <cellStyle name="20% - Accent1 3" xfId="6169"/>
    <cellStyle name="20% - Accent1 4" xfId="6170"/>
    <cellStyle name="20% - Accent2 2" xfId="2953"/>
    <cellStyle name="20% - Accent2 2 2" xfId="6172"/>
    <cellStyle name="20% - Accent2 2 2 2" xfId="6173"/>
    <cellStyle name="20% - Accent2 2 3" xfId="6171"/>
    <cellStyle name="20% - Accent2 3" xfId="6174"/>
    <cellStyle name="20% - Accent2 4" xfId="6175"/>
    <cellStyle name="20% - Accent3 2" xfId="2954"/>
    <cellStyle name="20% - Accent3 2 2" xfId="6177"/>
    <cellStyle name="20% - Accent3 2 2 2" xfId="6178"/>
    <cellStyle name="20% - Accent3 2 3" xfId="6176"/>
    <cellStyle name="20% - Accent3 3" xfId="6179"/>
    <cellStyle name="20% - Accent3 4" xfId="6180"/>
    <cellStyle name="20% - Accent4 2" xfId="2955"/>
    <cellStyle name="20% - Accent4 2 2" xfId="6182"/>
    <cellStyle name="20% - Accent4 2 2 2" xfId="6183"/>
    <cellStyle name="20% - Accent4 2 3" xfId="6181"/>
    <cellStyle name="20% - Accent4 3" xfId="6184"/>
    <cellStyle name="20% - Accent4 4" xfId="6185"/>
    <cellStyle name="20% - Accent5 2" xfId="2956"/>
    <cellStyle name="20% - Accent5 2 2" xfId="6187"/>
    <cellStyle name="20% - Accent5 2 2 2" xfId="6188"/>
    <cellStyle name="20% - Accent5 2 3" xfId="6186"/>
    <cellStyle name="20% - Accent5 3" xfId="6189"/>
    <cellStyle name="20% - Accent5 4" xfId="6190"/>
    <cellStyle name="20% - Accent6 2" xfId="2957"/>
    <cellStyle name="20% - Accent6 2 2" xfId="6192"/>
    <cellStyle name="20% - Accent6 2 2 2" xfId="6193"/>
    <cellStyle name="20% - Accent6 2 3" xfId="6191"/>
    <cellStyle name="20% - Accent6 3" xfId="6194"/>
    <cellStyle name="20% - Accent6 4" xfId="6195"/>
    <cellStyle name="4" xfId="6196"/>
    <cellStyle name="40% - Accent1 2" xfId="2958"/>
    <cellStyle name="40% - Accent1 2 2" xfId="2959"/>
    <cellStyle name="40% - Accent1 2 2 2" xfId="6199"/>
    <cellStyle name="40% - Accent1 2 2 3" xfId="6198"/>
    <cellStyle name="40% - Accent1 2 3" xfId="6197"/>
    <cellStyle name="40% - Accent1 3" xfId="6200"/>
    <cellStyle name="40% - Accent1 4" xfId="6201"/>
    <cellStyle name="40% - Accent2 2" xfId="2960"/>
    <cellStyle name="40% - Accent2 2 2" xfId="6203"/>
    <cellStyle name="40% - Accent2 2 2 2" xfId="6204"/>
    <cellStyle name="40% - Accent2 2 3" xfId="6202"/>
    <cellStyle name="40% - Accent2 3" xfId="6205"/>
    <cellStyle name="40% - Accent2 4" xfId="6206"/>
    <cellStyle name="40% - Accent3 2" xfId="2961"/>
    <cellStyle name="40% - Accent3 2 2" xfId="6208"/>
    <cellStyle name="40% - Accent3 2 2 2" xfId="6209"/>
    <cellStyle name="40% - Accent3 2 3" xfId="6207"/>
    <cellStyle name="40% - Accent3 3" xfId="6210"/>
    <cellStyle name="40% - Accent3 4" xfId="6211"/>
    <cellStyle name="40% - Accent4 2" xfId="2962"/>
    <cellStyle name="40% - Accent4 2 2" xfId="2963"/>
    <cellStyle name="40% - Accent4 2 2 2" xfId="6214"/>
    <cellStyle name="40% - Accent4 2 2 3" xfId="6213"/>
    <cellStyle name="40% - Accent4 2 3" xfId="6212"/>
    <cellStyle name="40% - Accent4 3" xfId="2964"/>
    <cellStyle name="40% - Accent4 3 2" xfId="6215"/>
    <cellStyle name="40% - Accent4 4" xfId="6216"/>
    <cellStyle name="40% - Accent5 2" xfId="2965"/>
    <cellStyle name="40% - Accent5 2 2" xfId="6218"/>
    <cellStyle name="40% - Accent5 2 2 2" xfId="6219"/>
    <cellStyle name="40% - Accent5 2 3" xfId="6217"/>
    <cellStyle name="40% - Accent5 3" xfId="6220"/>
    <cellStyle name="40% - Accent5 4" xfId="6221"/>
    <cellStyle name="40% - Accent6 2" xfId="2966"/>
    <cellStyle name="40% - Accent6 2 2" xfId="2967"/>
    <cellStyle name="40% - Accent6 2 2 2" xfId="6224"/>
    <cellStyle name="40% - Accent6 2 2 3" xfId="6223"/>
    <cellStyle name="40% - Accent6 2 3" xfId="6222"/>
    <cellStyle name="40% - Accent6 3" xfId="6225"/>
    <cellStyle name="40% - Accent6 4" xfId="6226"/>
    <cellStyle name="5" xfId="6227"/>
    <cellStyle name="6" xfId="6228"/>
    <cellStyle name="60% - Accent1 2" xfId="2968"/>
    <cellStyle name="60% - Accent1 2 2" xfId="6229"/>
    <cellStyle name="60% - Accent1 3" xfId="6230"/>
    <cellStyle name="60% - Accent1 4" xfId="6231"/>
    <cellStyle name="60% - Accent2 2" xfId="6232"/>
    <cellStyle name="60% - Accent2 3" xfId="6233"/>
    <cellStyle name="60% - Accent2 4" xfId="6234"/>
    <cellStyle name="60% - Accent3 2" xfId="6235"/>
    <cellStyle name="60% - Accent3 3" xfId="6236"/>
    <cellStyle name="60% - Accent3 4" xfId="6237"/>
    <cellStyle name="60% - Accent4 2" xfId="6238"/>
    <cellStyle name="60% - Accent4 3" xfId="6239"/>
    <cellStyle name="60% - Accent4 4" xfId="6240"/>
    <cellStyle name="60% - Accent5 2" xfId="6241"/>
    <cellStyle name="60% - Accent5 3" xfId="6242"/>
    <cellStyle name="60% - Accent5 4" xfId="6243"/>
    <cellStyle name="60% - Accent6 2" xfId="6244"/>
    <cellStyle name="60% - Accent6 3" xfId="6245"/>
    <cellStyle name="60% - Accent6 4" xfId="6246"/>
    <cellStyle name="6mal" xfId="479"/>
    <cellStyle name="752131" xfId="6247"/>
    <cellStyle name="9" xfId="6248"/>
    <cellStyle name="Accent1 - 20%" xfId="2969"/>
    <cellStyle name="Accent1 - 20% 2" xfId="2970"/>
    <cellStyle name="Accent1 - 20%_2012 PL" xfId="2971"/>
    <cellStyle name="Accent1 - 40%" xfId="2972"/>
    <cellStyle name="Accent1 - 40% 2" xfId="2973"/>
    <cellStyle name="Accent1 - 40%_2012 PL" xfId="2974"/>
    <cellStyle name="Accent1 - 60%" xfId="2975"/>
    <cellStyle name="Accent1 - 60% 2" xfId="2976"/>
    <cellStyle name="Accent1 - 60%_2012 PL" xfId="2977"/>
    <cellStyle name="Accent1 10" xfId="2978"/>
    <cellStyle name="Accent1 11" xfId="2979"/>
    <cellStyle name="Accent1 12" xfId="2980"/>
    <cellStyle name="Accent1 2" xfId="2981"/>
    <cellStyle name="Accent1 2 2" xfId="6250"/>
    <cellStyle name="Accent1 2 3" xfId="6249"/>
    <cellStyle name="Accent1 3" xfId="2982"/>
    <cellStyle name="Accent1 4" xfId="2983"/>
    <cellStyle name="Accent1 5" xfId="2984"/>
    <cellStyle name="Accent1 6" xfId="2985"/>
    <cellStyle name="Accent1 7" xfId="2986"/>
    <cellStyle name="Accent1 8" xfId="2987"/>
    <cellStyle name="Accent1 9" xfId="2988"/>
    <cellStyle name="Accent2 - 20%" xfId="2989"/>
    <cellStyle name="Accent2 - 20% 2" xfId="2990"/>
    <cellStyle name="Accent2 - 20%_2012 PL" xfId="2991"/>
    <cellStyle name="Accent2 - 40%" xfId="2992"/>
    <cellStyle name="Accent2 - 40% 2" xfId="2993"/>
    <cellStyle name="Accent2 - 40%_2012 PL" xfId="2994"/>
    <cellStyle name="Accent2 - 60%" xfId="2995"/>
    <cellStyle name="Accent2 - 60% 2" xfId="2996"/>
    <cellStyle name="Accent2 - 60%_2012 PL" xfId="2997"/>
    <cellStyle name="Accent2 10" xfId="2998"/>
    <cellStyle name="Accent2 11" xfId="2999"/>
    <cellStyle name="Accent2 12" xfId="3000"/>
    <cellStyle name="Accent2 2" xfId="3001"/>
    <cellStyle name="Accent2 2 2" xfId="6252"/>
    <cellStyle name="Accent2 2 3" xfId="6251"/>
    <cellStyle name="Accent2 3" xfId="3002"/>
    <cellStyle name="Accent2 4" xfId="3003"/>
    <cellStyle name="Accent2 5" xfId="3004"/>
    <cellStyle name="Accent2 6" xfId="3005"/>
    <cellStyle name="Accent2 7" xfId="3006"/>
    <cellStyle name="Accent2 8" xfId="3007"/>
    <cellStyle name="Accent2 9" xfId="3008"/>
    <cellStyle name="Accent3 - 20%" xfId="3009"/>
    <cellStyle name="Accent3 - 20% 2" xfId="3010"/>
    <cellStyle name="Accent3 - 20%_2012 PL" xfId="3011"/>
    <cellStyle name="Accent3 - 40%" xfId="3012"/>
    <cellStyle name="Accent3 - 40% 2" xfId="3013"/>
    <cellStyle name="Accent3 - 40%_2012 PL" xfId="3014"/>
    <cellStyle name="Accent3 - 60%" xfId="3015"/>
    <cellStyle name="Accent3 - 60% 2" xfId="3016"/>
    <cellStyle name="Accent3 - 60%_2012 PL" xfId="3017"/>
    <cellStyle name="Accent3 10" xfId="3018"/>
    <cellStyle name="Accent3 11" xfId="3019"/>
    <cellStyle name="Accent3 12" xfId="3020"/>
    <cellStyle name="Accent3 2" xfId="3021"/>
    <cellStyle name="Accent3 2 2" xfId="6254"/>
    <cellStyle name="Accent3 2 3" xfId="6253"/>
    <cellStyle name="Accent3 3" xfId="3022"/>
    <cellStyle name="Accent3 4" xfId="3023"/>
    <cellStyle name="Accent3 5" xfId="3024"/>
    <cellStyle name="Accent3 6" xfId="3025"/>
    <cellStyle name="Accent3 7" xfId="3026"/>
    <cellStyle name="Accent3 8" xfId="3027"/>
    <cellStyle name="Accent3 9" xfId="3028"/>
    <cellStyle name="Accent4 - 20%" xfId="3029"/>
    <cellStyle name="Accent4 - 20% 2" xfId="3030"/>
    <cellStyle name="Accent4 - 20%_2012 PL" xfId="3031"/>
    <cellStyle name="Accent4 - 40%" xfId="3032"/>
    <cellStyle name="Accent4 - 40% 2" xfId="3033"/>
    <cellStyle name="Accent4 - 40%_2012 PL" xfId="3034"/>
    <cellStyle name="Accent4 - 60%" xfId="3035"/>
    <cellStyle name="Accent4 - 60% 2" xfId="3036"/>
    <cellStyle name="Accent4 - 60%_2012 PL" xfId="3037"/>
    <cellStyle name="Accent4 10" xfId="3038"/>
    <cellStyle name="Accent4 11" xfId="3039"/>
    <cellStyle name="Accent4 12" xfId="3040"/>
    <cellStyle name="Accent4 2" xfId="3041"/>
    <cellStyle name="Accent4 2 2" xfId="6256"/>
    <cellStyle name="Accent4 2 3" xfId="6255"/>
    <cellStyle name="Accent4 3" xfId="3042"/>
    <cellStyle name="Accent4 4" xfId="3043"/>
    <cellStyle name="Accent4 5" xfId="3044"/>
    <cellStyle name="Accent4 6" xfId="3045"/>
    <cellStyle name="Accent4 7" xfId="3046"/>
    <cellStyle name="Accent4 8" xfId="3047"/>
    <cellStyle name="Accent4 9" xfId="3048"/>
    <cellStyle name="Accent5 - 20%" xfId="3049"/>
    <cellStyle name="Accent5 - 20% 2" xfId="3050"/>
    <cellStyle name="Accent5 - 20%_2012 PL" xfId="3051"/>
    <cellStyle name="Accent5 - 40%" xfId="3052"/>
    <cellStyle name="Accent5 - 60%" xfId="3053"/>
    <cellStyle name="Accent5 - 60% 2" xfId="3054"/>
    <cellStyle name="Accent5 - 60%_2012 PL" xfId="3055"/>
    <cellStyle name="Accent5 10" xfId="3056"/>
    <cellStyle name="Accent5 11" xfId="3057"/>
    <cellStyle name="Accent5 12" xfId="3058"/>
    <cellStyle name="Accent5 2" xfId="3059"/>
    <cellStyle name="Accent5 2 2" xfId="6258"/>
    <cellStyle name="Accent5 2 3" xfId="6257"/>
    <cellStyle name="Accent5 3" xfId="3060"/>
    <cellStyle name="Accent5 4" xfId="3061"/>
    <cellStyle name="Accent5 5" xfId="3062"/>
    <cellStyle name="Accent5 6" xfId="3063"/>
    <cellStyle name="Accent5 7" xfId="3064"/>
    <cellStyle name="Accent5 8" xfId="3065"/>
    <cellStyle name="Accent5 9" xfId="3066"/>
    <cellStyle name="Accent6 - 20%" xfId="3067"/>
    <cellStyle name="Accent6 - 40%" xfId="3068"/>
    <cellStyle name="Accent6 - 40% 2" xfId="3069"/>
    <cellStyle name="Accent6 - 40%_2012 PL" xfId="3070"/>
    <cellStyle name="Accent6 - 60%" xfId="3071"/>
    <cellStyle name="Accent6 - 60% 2" xfId="3072"/>
    <cellStyle name="Accent6 - 60%_2012 PL" xfId="3073"/>
    <cellStyle name="Accent6 10" xfId="3074"/>
    <cellStyle name="Accent6 11" xfId="3075"/>
    <cellStyle name="Accent6 12" xfId="3076"/>
    <cellStyle name="Accent6 2" xfId="3077"/>
    <cellStyle name="Accent6 2 2" xfId="6260"/>
    <cellStyle name="Accent6 2 3" xfId="6259"/>
    <cellStyle name="Accent6 3" xfId="3078"/>
    <cellStyle name="Accent6 4" xfId="3079"/>
    <cellStyle name="Accent6 5" xfId="3080"/>
    <cellStyle name="Accent6 6" xfId="3081"/>
    <cellStyle name="Accent6 7" xfId="3082"/>
    <cellStyle name="Accent6 8" xfId="3083"/>
    <cellStyle name="Accent6 9" xfId="3084"/>
    <cellStyle name="active" xfId="3085"/>
    <cellStyle name="AFE" xfId="3086"/>
    <cellStyle name="Align at top" xfId="3087"/>
    <cellStyle name="Align at top 2" xfId="3088"/>
    <cellStyle name="args.style" xfId="480"/>
    <cellStyle name="arial11_bld_it" xfId="481"/>
    <cellStyle name="at" xfId="6261"/>
    <cellStyle name="Availability" xfId="3089"/>
    <cellStyle name="b" xfId="6262"/>
    <cellStyle name="b%0" xfId="6263"/>
    <cellStyle name="b%1" xfId="6264"/>
    <cellStyle name="b%2" xfId="6265"/>
    <cellStyle name="b0" xfId="6266"/>
    <cellStyle name="b09" xfId="6267"/>
    <cellStyle name="b1" xfId="6268"/>
    <cellStyle name="b1 2" xfId="6269"/>
    <cellStyle name="b1 2 2" xfId="6270"/>
    <cellStyle name="b1 3" xfId="6271"/>
    <cellStyle name="b1 3 2" xfId="6272"/>
    <cellStyle name="b1 4" xfId="6273"/>
    <cellStyle name="b1 5" xfId="6274"/>
    <cellStyle name="b2" xfId="6275"/>
    <cellStyle name="b2 2" xfId="6276"/>
    <cellStyle name="Bad" xfId="7312"/>
    <cellStyle name="Bad 2" xfId="3090"/>
    <cellStyle name="Bad 2 2" xfId="6278"/>
    <cellStyle name="Bad 3" xfId="3091"/>
    <cellStyle name="Bad 4" xfId="6277"/>
    <cellStyle name="Balans" xfId="6279"/>
    <cellStyle name="Balans 2" xfId="6280"/>
    <cellStyle name="Balans Bold" xfId="6281"/>
    <cellStyle name="Balans Totaal" xfId="6282"/>
    <cellStyle name="Balans Totaal 2" xfId="6283"/>
    <cellStyle name="Balans Totaal 2 2" xfId="6284"/>
    <cellStyle name="Balans Totaal 3" xfId="6285"/>
    <cellStyle name="Balans Totaal 3 2" xfId="6286"/>
    <cellStyle name="Balans Totaal 4" xfId="6287"/>
    <cellStyle name="Balans Totaal 5" xfId="6288"/>
    <cellStyle name="Balans_110329 PQ Challenge Linked to Sharepoint" xfId="6289"/>
    <cellStyle name="Bar" xfId="3092"/>
    <cellStyle name="Bar (w border)" xfId="3093"/>
    <cellStyle name="Bar (w border) 2" xfId="3094"/>
    <cellStyle name="Bar 2" xfId="3095"/>
    <cellStyle name="Bar_JP2011" xfId="3096"/>
    <cellStyle name="basis" xfId="3097"/>
    <cellStyle name="basis 2" xfId="6290"/>
    <cellStyle name="Berekening 2" xfId="6291"/>
    <cellStyle name="Black" xfId="6292"/>
    <cellStyle name="blank" xfId="3098"/>
    <cellStyle name="Blauw" xfId="6293"/>
    <cellStyle name="Blue" xfId="6294"/>
    <cellStyle name="Blz (xxx xxx xx)" xfId="3099"/>
    <cellStyle name="Blz (xxx xxx xx) 2" xfId="3100"/>
    <cellStyle name="bo" xfId="6295"/>
    <cellStyle name="bo 2" xfId="6296"/>
    <cellStyle name="Body" xfId="6297"/>
    <cellStyle name="boek" xfId="482"/>
    <cellStyle name="Bold/Border" xfId="6298"/>
    <cellStyle name="Bold/Border 2" xfId="6299"/>
    <cellStyle name="border" xfId="3101"/>
    <cellStyle name="Bottom" xfId="6300"/>
    <cellStyle name="bout" xfId="6301"/>
    <cellStyle name="bt" xfId="6302"/>
    <cellStyle name="btit" xfId="6303"/>
    <cellStyle name="btit 2" xfId="6304"/>
    <cellStyle name="btit 2 2" xfId="6305"/>
    <cellStyle name="btit 3" xfId="6306"/>
    <cellStyle name="btit 3 2" xfId="6307"/>
    <cellStyle name="btit 4" xfId="6308"/>
    <cellStyle name="btit 5" xfId="6309"/>
    <cellStyle name="Bullet" xfId="6310"/>
    <cellStyle name="Bullet 2" xfId="6311"/>
    <cellStyle name="BvDAddIn_Currency" xfId="3102"/>
    <cellStyle name="c" xfId="6312"/>
    <cellStyle name="c_Grouse+Pelican" xfId="6313"/>
    <cellStyle name="c_Macros" xfId="6314"/>
    <cellStyle name="c_Macros (2)" xfId="6315"/>
    <cellStyle name="c_Manager (2)" xfId="6316"/>
    <cellStyle name="c0" xfId="6317"/>
    <cellStyle name="cach" xfId="6318"/>
    <cellStyle name="Calc" xfId="3103"/>
    <cellStyle name="Calc - Blue" xfId="3104"/>
    <cellStyle name="Calc - Feed" xfId="3105"/>
    <cellStyle name="Calc - Green" xfId="3106"/>
    <cellStyle name="Calc - Grey" xfId="3107"/>
    <cellStyle name="Calc - White" xfId="3108"/>
    <cellStyle name="Calc Currency (0)" xfId="483"/>
    <cellStyle name="Calc Currency (0) 2" xfId="6319"/>
    <cellStyle name="Calc Currency (2)" xfId="3109"/>
    <cellStyle name="Calc Currency (2) 2" xfId="6320"/>
    <cellStyle name="Calc Percent (0)" xfId="3110"/>
    <cellStyle name="Calc Percent (0) 2" xfId="6321"/>
    <cellStyle name="Calc Percent (1)" xfId="3111"/>
    <cellStyle name="Calc Percent (1) 2" xfId="6322"/>
    <cellStyle name="Calc Percent (2)" xfId="3112"/>
    <cellStyle name="Calc Percent (2) 2" xfId="6323"/>
    <cellStyle name="Calc Units (0)" xfId="3113"/>
    <cellStyle name="Calc Units (0) 2" xfId="6324"/>
    <cellStyle name="Calc Units (1)" xfId="3114"/>
    <cellStyle name="Calc Units (1) 2" xfId="6325"/>
    <cellStyle name="Calc Units (2)" xfId="3115"/>
    <cellStyle name="Calc Units (2) 2" xfId="6326"/>
    <cellStyle name="Calc_11" xfId="3116"/>
    <cellStyle name="Calculated" xfId="484"/>
    <cellStyle name="Calculation" xfId="7313"/>
    <cellStyle name="Calculation 2" xfId="3117"/>
    <cellStyle name="Calculation 3" xfId="6327"/>
    <cellStyle name="category" xfId="3118"/>
    <cellStyle name="Centrify gold" xfId="3119"/>
    <cellStyle name="Change" xfId="485"/>
    <cellStyle name="Changeable" xfId="6328"/>
    <cellStyle name="check" xfId="486"/>
    <cellStyle name="check 2" xfId="6329"/>
    <cellStyle name="Check Cell" xfId="7314"/>
    <cellStyle name="Check Cell 2" xfId="3120"/>
    <cellStyle name="Check Cell 2 2" xfId="6331"/>
    <cellStyle name="Check Cell 3" xfId="6330"/>
    <cellStyle name="CHF (CHF 0 )" xfId="3121"/>
    <cellStyle name="CHF (CHF 0 ) 2" xfId="3122"/>
    <cellStyle name="CHF Mio (CHF 0 Mio.)" xfId="3123"/>
    <cellStyle name="CHF Mio (CHF 0 Mio.) 2" xfId="3124"/>
    <cellStyle name="cm" xfId="3125"/>
    <cellStyle name="cm 2" xfId="3126"/>
    <cellStyle name="co" xfId="6332"/>
    <cellStyle name="ColLevel_2" xfId="3127"/>
    <cellStyle name="Color (no color)" xfId="3128"/>
    <cellStyle name="Color (no color) 2" xfId="3129"/>
    <cellStyle name="Color 01" xfId="3130"/>
    <cellStyle name="Color 01 2" xfId="3131"/>
    <cellStyle name="Color 02" xfId="3132"/>
    <cellStyle name="Color 02 2" xfId="3133"/>
    <cellStyle name="Color 03" xfId="3134"/>
    <cellStyle name="Color 03 2" xfId="3135"/>
    <cellStyle name="Color 04" xfId="3136"/>
    <cellStyle name="Color 05" xfId="3137"/>
    <cellStyle name="Color 05 2" xfId="3138"/>
    <cellStyle name="Color 06" xfId="3139"/>
    <cellStyle name="Color 06 2" xfId="3140"/>
    <cellStyle name="Color 07" xfId="3141"/>
    <cellStyle name="Color 07 2" xfId="3142"/>
    <cellStyle name="Color 08" xfId="3143"/>
    <cellStyle name="Color 08 2" xfId="3144"/>
    <cellStyle name="Column Heading" xfId="3145"/>
    <cellStyle name="Column label" xfId="487"/>
    <cellStyle name="Column Title" xfId="3146"/>
    <cellStyle name="Column Title 2" xfId="3147"/>
    <cellStyle name="ColumnAttributeAbovePrompt" xfId="488"/>
    <cellStyle name="ColumnAttributePrompt" xfId="489"/>
    <cellStyle name="ColumnAttributeValue" xfId="490"/>
    <cellStyle name="ColumnHeading" xfId="3148"/>
    <cellStyle name="ColumnHeadingPrompt" xfId="491"/>
    <cellStyle name="ColumnHeadingValue" xfId="492"/>
    <cellStyle name="Comma  - Style1" xfId="3149"/>
    <cellStyle name="Comma  - Style1 2" xfId="6333"/>
    <cellStyle name="Comma  - Style2" xfId="3150"/>
    <cellStyle name="Comma  - Style2 2" xfId="6334"/>
    <cellStyle name="Comma  - Style3" xfId="3151"/>
    <cellStyle name="Comma  - Style3 2" xfId="6335"/>
    <cellStyle name="Comma  - Style4" xfId="3152"/>
    <cellStyle name="Comma  - Style4 2" xfId="6336"/>
    <cellStyle name="Comma  - Style5" xfId="3153"/>
    <cellStyle name="Comma  - Style5 2" xfId="6337"/>
    <cellStyle name="Comma  - Style6" xfId="3154"/>
    <cellStyle name="Comma  - Style6 2" xfId="6338"/>
    <cellStyle name="Comma  - Style7" xfId="3155"/>
    <cellStyle name="Comma  - Style7 2" xfId="6339"/>
    <cellStyle name="Comma  - Style8" xfId="3156"/>
    <cellStyle name="Comma  - Style8 2" xfId="6340"/>
    <cellStyle name="comma (1)" xfId="6341"/>
    <cellStyle name="Comma [00]" xfId="3157"/>
    <cellStyle name="Comma [00] 2" xfId="6342"/>
    <cellStyle name="Comma [1]" xfId="6343"/>
    <cellStyle name="Comma [2]" xfId="6344"/>
    <cellStyle name="Comma 0" xfId="493"/>
    <cellStyle name="Comma 0 2" xfId="6345"/>
    <cellStyle name="Comma 0*" xfId="494"/>
    <cellStyle name="Comma 0* 2" xfId="6346"/>
    <cellStyle name="Comma 0_110329 PQ Challenge Linked to Sharepoint" xfId="6347"/>
    <cellStyle name="Comma 10" xfId="3158"/>
    <cellStyle name="Comma 11" xfId="3159"/>
    <cellStyle name="Comma 12" xfId="3160"/>
    <cellStyle name="Comma 13" xfId="3161"/>
    <cellStyle name="Comma 14" xfId="3162"/>
    <cellStyle name="Comma 14 2" xfId="3163"/>
    <cellStyle name="Comma 15" xfId="3164"/>
    <cellStyle name="Comma 15 2" xfId="3165"/>
    <cellStyle name="Comma 16" xfId="3166"/>
    <cellStyle name="Comma 17" xfId="3167"/>
    <cellStyle name="Comma 18" xfId="3168"/>
    <cellStyle name="Comma 18 2" xfId="3169"/>
    <cellStyle name="Comma 18 3" xfId="3170"/>
    <cellStyle name="Comma 19" xfId="3171"/>
    <cellStyle name="Comma 2" xfId="495"/>
    <cellStyle name="Comma 2 10" xfId="3172"/>
    <cellStyle name="Comma 2 11" xfId="3173"/>
    <cellStyle name="Comma 2 2" xfId="3174"/>
    <cellStyle name="Comma 2 2 2" xfId="3175"/>
    <cellStyle name="Comma 2 2 3" xfId="3176"/>
    <cellStyle name="Comma 2 2 4" xfId="6348"/>
    <cellStyle name="Comma 2 2_Coverage" xfId="3177"/>
    <cellStyle name="Comma 2 3" xfId="3178"/>
    <cellStyle name="Comma 2 4" xfId="3179"/>
    <cellStyle name="Comma 2 5" xfId="3180"/>
    <cellStyle name="Comma 2 6" xfId="3181"/>
    <cellStyle name="Comma 2 7" xfId="3182"/>
    <cellStyle name="Comma 2 8" xfId="3183"/>
    <cellStyle name="Comma 2 9" xfId="3184"/>
    <cellStyle name="Comma 2_110810_Overzicht_Orderintake" xfId="6349"/>
    <cellStyle name="Comma 20" xfId="3185"/>
    <cellStyle name="Comma 21" xfId="3186"/>
    <cellStyle name="Comma 22" xfId="3187"/>
    <cellStyle name="Comma 23" xfId="3932"/>
    <cellStyle name="Comma 3" xfId="496"/>
    <cellStyle name="Comma 3 2" xfId="3188"/>
    <cellStyle name="Comma 3 2 2" xfId="3189"/>
    <cellStyle name="Comma 3 2 2 2" xfId="3190"/>
    <cellStyle name="Comma 3 2 3" xfId="3191"/>
    <cellStyle name="Comma 3 2 3 2" xfId="3192"/>
    <cellStyle name="Comma 3 2 4" xfId="3193"/>
    <cellStyle name="Comma 3 2 5" xfId="6351"/>
    <cellStyle name="Comma 3 2_Coverage" xfId="3194"/>
    <cellStyle name="Comma 3 3" xfId="3195"/>
    <cellStyle name="Comma 3 3 2" xfId="3196"/>
    <cellStyle name="Comma 3 4" xfId="3197"/>
    <cellStyle name="Comma 3 4 2" xfId="3198"/>
    <cellStyle name="Comma 3 5" xfId="3199"/>
    <cellStyle name="Comma 3 6" xfId="3200"/>
    <cellStyle name="Comma 3 7" xfId="6350"/>
    <cellStyle name="Comma 3_2012 PL" xfId="3201"/>
    <cellStyle name="Comma 4" xfId="497"/>
    <cellStyle name="Comma 4 2" xfId="3202"/>
    <cellStyle name="Comma 4 2 2" xfId="3203"/>
    <cellStyle name="Comma 4 3" xfId="3204"/>
    <cellStyle name="Comma 4 3 2" xfId="3205"/>
    <cellStyle name="Comma 4 4" xfId="3206"/>
    <cellStyle name="Comma 4 5" xfId="3207"/>
    <cellStyle name="Comma 4_Copy of Org tabel menu kaart" xfId="3208"/>
    <cellStyle name="Comma 5" xfId="11"/>
    <cellStyle name="Comma 5 2" xfId="3209"/>
    <cellStyle name="Comma 5 2 2" xfId="3210"/>
    <cellStyle name="Comma 5 3" xfId="3211"/>
    <cellStyle name="Comma 5_Copy of Org tabel menu kaart" xfId="3212"/>
    <cellStyle name="Comma 6" xfId="498"/>
    <cellStyle name="Comma 6 2" xfId="3213"/>
    <cellStyle name="Comma 7" xfId="3214"/>
    <cellStyle name="Comma 7 2" xfId="3215"/>
    <cellStyle name="Comma 8" xfId="3216"/>
    <cellStyle name="Comma 9" xfId="3217"/>
    <cellStyle name="Comma 9 2" xfId="3218"/>
    <cellStyle name="Comma 99" xfId="3931"/>
    <cellStyle name="Comma Bold" xfId="6352"/>
    <cellStyle name="Comma Bold 2" xfId="6353"/>
    <cellStyle name="Comma Bold 2 2" xfId="6354"/>
    <cellStyle name="Comma Bold 3" xfId="6355"/>
    <cellStyle name="Comma Bold 3 2" xfId="6356"/>
    <cellStyle name="Comma Bold 4" xfId="6357"/>
    <cellStyle name="Comma Bold 5" xfId="6358"/>
    <cellStyle name="Comma0" xfId="3219"/>
    <cellStyle name="Comma0 - Modelo1" xfId="6360"/>
    <cellStyle name="Comma0 - Style1" xfId="6361"/>
    <cellStyle name="Comma0 2" xfId="6359"/>
    <cellStyle name="Comma0_110329 PQ Challenge Linked to Sharepoint" xfId="6362"/>
    <cellStyle name="Comma1 - Modelo2" xfId="6363"/>
    <cellStyle name="Comma1 - Style2" xfId="6364"/>
    <cellStyle name="CompanyName" xfId="6365"/>
    <cellStyle name="CompanyName 2" xfId="6366"/>
    <cellStyle name="CompanyName 2 2" xfId="6367"/>
    <cellStyle name="CompanyName 3" xfId="6368"/>
    <cellStyle name="CompanyName 3 2" xfId="6369"/>
    <cellStyle name="CompanyName 4" xfId="6370"/>
    <cellStyle name="CompanyName 5" xfId="6371"/>
    <cellStyle name="Config Data Cells" xfId="499"/>
    <cellStyle name="Controlecel 2" xfId="6372"/>
    <cellStyle name="Copied" xfId="500"/>
    <cellStyle name="Copyright_xlr8r" xfId="6373"/>
    <cellStyle name="ct" xfId="3220"/>
    <cellStyle name="Currency [00]" xfId="3221"/>
    <cellStyle name="Currency [00] 2" xfId="6374"/>
    <cellStyle name="Currency [1]" xfId="6375"/>
    <cellStyle name="Currency [2]" xfId="6376"/>
    <cellStyle name="Currency 0" xfId="501"/>
    <cellStyle name="Currency 0 2" xfId="6377"/>
    <cellStyle name="Currency 2" xfId="502"/>
    <cellStyle name="Currency 2 2" xfId="3222"/>
    <cellStyle name="Currency 2 2 2" xfId="6379"/>
    <cellStyle name="Currency 2 3" xfId="3223"/>
    <cellStyle name="Currency 2 3 2" xfId="6380"/>
    <cellStyle name="Currency 2 4" xfId="6378"/>
    <cellStyle name="Currency 2_110810_Overzicht_Orderintake" xfId="6381"/>
    <cellStyle name="Currency 3" xfId="503"/>
    <cellStyle name="Currency 3 2" xfId="3224"/>
    <cellStyle name="Currency 3 2 2" xfId="6383"/>
    <cellStyle name="Currency 3 3" xfId="6382"/>
    <cellStyle name="Currency 3_OIT data LE,SCM,INS,targets" xfId="6384"/>
    <cellStyle name="Currency 4" xfId="504"/>
    <cellStyle name="Currency 4 2" xfId="8"/>
    <cellStyle name="Currency 4 3" xfId="6385"/>
    <cellStyle name="Currency 5" xfId="505"/>
    <cellStyle name="Currency 5 2" xfId="3225"/>
    <cellStyle name="Currency 6" xfId="506"/>
    <cellStyle name="Currency 7" xfId="3226"/>
    <cellStyle name="Currency 8" xfId="7308"/>
    <cellStyle name="Currency0" xfId="3227"/>
    <cellStyle name="Currency0 2" xfId="6386"/>
    <cellStyle name="dak" xfId="3228"/>
    <cellStyle name="Dash" xfId="6387"/>
    <cellStyle name="Dash 2" xfId="6388"/>
    <cellStyle name="Data" xfId="507"/>
    <cellStyle name="Data 2" xfId="3229"/>
    <cellStyle name="Data 3" xfId="6389"/>
    <cellStyle name="database" xfId="508"/>
    <cellStyle name="database 2" xfId="509"/>
    <cellStyle name="database 3" xfId="3230"/>
    <cellStyle name="Date" xfId="3231"/>
    <cellStyle name="Date (JJMMTT)" xfId="3232"/>
    <cellStyle name="Date (JJMMTT) 2" xfId="3233"/>
    <cellStyle name="Date (MM/JJJJ)" xfId="3234"/>
    <cellStyle name="Date (MM/JJJJ) 2" xfId="3235"/>
    <cellStyle name="Date (MMM TT, JJJJ)" xfId="3236"/>
    <cellStyle name="Date (MMM TT, JJJJ) 2" xfId="3237"/>
    <cellStyle name="Date (TT.MM.)" xfId="3238"/>
    <cellStyle name="Date (TT.MM.) 2" xfId="3239"/>
    <cellStyle name="Date (TT.MMM.JJJJ)" xfId="3240"/>
    <cellStyle name="Date (TT.MMM.JJJJ) 2" xfId="3241"/>
    <cellStyle name="Date 2" xfId="6390"/>
    <cellStyle name="Date Aligned" xfId="510"/>
    <cellStyle name="Date Aligned 2" xfId="6391"/>
    <cellStyle name="Date Short" xfId="3242"/>
    <cellStyle name="Date_01" xfId="3243"/>
    <cellStyle name="Date2" xfId="6392"/>
    <cellStyle name="DateType" xfId="511"/>
    <cellStyle name="Datum" xfId="512"/>
    <cellStyle name="Dezimal [0]_ " xfId="3244"/>
    <cellStyle name="Dezimal +000" xfId="3245"/>
    <cellStyle name="Dezimal +000 2" xfId="6393"/>
    <cellStyle name="Dezimal 00" xfId="3246"/>
    <cellStyle name="Dezimal 00 2" xfId="6394"/>
    <cellStyle name="Dezimal 000" xfId="3247"/>
    <cellStyle name="Dezimal 000 2" xfId="6395"/>
    <cellStyle name="Dezimal_ " xfId="3248"/>
    <cellStyle name="Dia" xfId="6396"/>
    <cellStyle name="Discontinued" xfId="513"/>
    <cellStyle name="Diseño" xfId="3249"/>
    <cellStyle name="Dollars" xfId="6397"/>
    <cellStyle name="Dotted Line" xfId="514"/>
    <cellStyle name="Dotted Line 2" xfId="6398"/>
    <cellStyle name="DOWNFOOT" xfId="6399"/>
    <cellStyle name="DrKW Assumption" xfId="3250"/>
    <cellStyle name="DrKW Green Line" xfId="3251"/>
    <cellStyle name="DrKW Input" xfId="3252"/>
    <cellStyle name="DrKW Multiple" xfId="3253"/>
    <cellStyle name="DrKW Percent" xfId="3254"/>
    <cellStyle name="DrKW Percent 8pt" xfId="3255"/>
    <cellStyle name="DrKW Percent Assumption" xfId="3256"/>
    <cellStyle name="DrKW Percent Assumption 8pt" xfId="3257"/>
    <cellStyle name="DrKW Percent Input" xfId="3258"/>
    <cellStyle name="DrKW Percent_9738 Drive High-Low" xfId="3259"/>
    <cellStyle name="DrKW Standard format" xfId="3260"/>
    <cellStyle name="Emphasis 1" xfId="6400"/>
    <cellStyle name="Emphasis 1 2" xfId="3261"/>
    <cellStyle name="Emphasis 2" xfId="6401"/>
    <cellStyle name="Emphasis 2 2" xfId="3262"/>
    <cellStyle name="Emphasis 3" xfId="6402"/>
    <cellStyle name="Emphasis 3 2" xfId="3263"/>
    <cellStyle name="Encabez1" xfId="6403"/>
    <cellStyle name="Encabez2" xfId="6404"/>
    <cellStyle name="Enter Currency (0)" xfId="3264"/>
    <cellStyle name="Enter Currency (0) 2" xfId="6405"/>
    <cellStyle name="Enter Currency (2)" xfId="3265"/>
    <cellStyle name="Enter Currency (2) 2" xfId="6406"/>
    <cellStyle name="Enter Units (0)" xfId="3266"/>
    <cellStyle name="Enter Units (0) 2" xfId="6407"/>
    <cellStyle name="Enter Units (1)" xfId="3267"/>
    <cellStyle name="Enter Units (1) 2" xfId="6408"/>
    <cellStyle name="Enter Units (2)" xfId="3268"/>
    <cellStyle name="Enter Units (2) 2" xfId="6409"/>
    <cellStyle name="Entered" xfId="515"/>
    <cellStyle name="Entry" xfId="3269"/>
    <cellStyle name="Entry Company" xfId="3270"/>
    <cellStyle name="Entry Text" xfId="3271"/>
    <cellStyle name="Entry_ICS plan 2010 origineel v9 10-09" xfId="3272"/>
    <cellStyle name="Euro" xfId="516"/>
    <cellStyle name="Euro (€ 0.00)" xfId="3273"/>
    <cellStyle name="Euro 10" xfId="3274"/>
    <cellStyle name="Euro 11" xfId="6410"/>
    <cellStyle name="Euro 2" xfId="3275"/>
    <cellStyle name="Euro 2 2" xfId="3276"/>
    <cellStyle name="Euro 2 2 2" xfId="6412"/>
    <cellStyle name="Euro 2 3" xfId="6411"/>
    <cellStyle name="Euro 3" xfId="3277"/>
    <cellStyle name="Euro 3 2" xfId="6414"/>
    <cellStyle name="Euro 3 3" xfId="6413"/>
    <cellStyle name="Euro 4" xfId="3278"/>
    <cellStyle name="Euro 4 2" xfId="6415"/>
    <cellStyle name="Euro 5" xfId="3279"/>
    <cellStyle name="Euro 5 2" xfId="6416"/>
    <cellStyle name="Euro 6" xfId="3280"/>
    <cellStyle name="Euro 7" xfId="3281"/>
    <cellStyle name="Euro 8" xfId="3282"/>
    <cellStyle name="Euro 9" xfId="3283"/>
    <cellStyle name="Euro bn (€ 0 bn)" xfId="3284"/>
    <cellStyle name="Euro bn (€ 0 bn) 2" xfId="3285"/>
    <cellStyle name="Euro Mio. (€ 0 Mio)" xfId="3286"/>
    <cellStyle name="Euro_080619_OBU035_Oerlikon Solar_valuae creation from JV options_v1600" xfId="3287"/>
    <cellStyle name="Exception" xfId="3288"/>
    <cellStyle name="Explanation" xfId="3289"/>
    <cellStyle name="Explanatory Text" xfId="7315"/>
    <cellStyle name="Explanatory Text 2" xfId="6418"/>
    <cellStyle name="Explanatory Text 3" xfId="6417"/>
    <cellStyle name="F2" xfId="6419"/>
    <cellStyle name="F3" xfId="6420"/>
    <cellStyle name="F4" xfId="6421"/>
    <cellStyle name="F5" xfId="6422"/>
    <cellStyle name="F6" xfId="6423"/>
    <cellStyle name="F7" xfId="6424"/>
    <cellStyle name="F8" xfId="6425"/>
    <cellStyle name="factor" xfId="3290"/>
    <cellStyle name="Factor (0.0x)" xfId="3291"/>
    <cellStyle name="factor 2" xfId="3292"/>
    <cellStyle name="factor_JP2011" xfId="3293"/>
    <cellStyle name="Feeder Field" xfId="3294"/>
    <cellStyle name="Feeder Field 2" xfId="3295"/>
    <cellStyle name="Feeder Field_2012 PL" xfId="3296"/>
    <cellStyle name="Fijo" xfId="6426"/>
    <cellStyle name="Finan?ní0" xfId="3297"/>
    <cellStyle name="Finan?ní0 2" xfId="3298"/>
    <cellStyle name="Financiero" xfId="6427"/>
    <cellStyle name="Finanční0" xfId="3299"/>
    <cellStyle name="Finanční0 2" xfId="3300"/>
    <cellStyle name="Fixed" xfId="3301"/>
    <cellStyle name="Fixed 2" xfId="6428"/>
    <cellStyle name="Followed Hyperlink" xfId="517"/>
    <cellStyle name="Footnote" xfId="518"/>
    <cellStyle name="Formula" xfId="3302"/>
    <cellStyle name="Formula 2" xfId="6429"/>
    <cellStyle name="GBP (£ 0)" xfId="3303"/>
    <cellStyle name="GBP (£ 0) 2" xfId="3304"/>
    <cellStyle name="GBP Mio (£ 0 Mio.)" xfId="3305"/>
    <cellStyle name="GBP Mio (£ 0 Mio.) 2" xfId="3306"/>
    <cellStyle name="Gekoppelde cel 2" xfId="6430"/>
    <cellStyle name="Getal" xfId="519"/>
    <cellStyle name="Getal 2" xfId="6431"/>
    <cellStyle name="Goed 2" xfId="6432"/>
    <cellStyle name="Good" xfId="7316"/>
    <cellStyle name="Good 2" xfId="3307"/>
    <cellStyle name="Good 3" xfId="6433"/>
    <cellStyle name="GPAFont" xfId="6434"/>
    <cellStyle name="Grey" xfId="520"/>
    <cellStyle name="Grey 2" xfId="3308"/>
    <cellStyle name="Greyed out" xfId="3309"/>
    <cellStyle name="Groei" xfId="6435"/>
    <cellStyle name="Groei Bold" xfId="6436"/>
    <cellStyle name="Groei Bold 2" xfId="6437"/>
    <cellStyle name="Groei Bold 2 2" xfId="6438"/>
    <cellStyle name="Groei Bold 3" xfId="6439"/>
    <cellStyle name="Groei Bold 3 2" xfId="6440"/>
    <cellStyle name="Groei Bold 4" xfId="6441"/>
    <cellStyle name="Groei Bold 5" xfId="6442"/>
    <cellStyle name="Groei_110329 PQ Challenge Linked to Sharepoint" xfId="6443"/>
    <cellStyle name="GW" xfId="3310"/>
    <cellStyle name="GW 2" xfId="3311"/>
    <cellStyle name="GWh" xfId="3312"/>
    <cellStyle name="h" xfId="6444"/>
    <cellStyle name="h 2" xfId="6445"/>
    <cellStyle name="h 2 2" xfId="6446"/>
    <cellStyle name="h 3" xfId="6447"/>
    <cellStyle name="h 3 2" xfId="6448"/>
    <cellStyle name="h 4" xfId="6449"/>
    <cellStyle name="h 5" xfId="6450"/>
    <cellStyle name="h_101018 BP Check OLS" xfId="6451"/>
    <cellStyle name="h_NewRef10" xfId="6452"/>
    <cellStyle name="h1_volumes2" xfId="6453"/>
    <cellStyle name="Hard Percent" xfId="521"/>
    <cellStyle name="Hard Percent 2" xfId="6454"/>
    <cellStyle name="Header" xfId="522"/>
    <cellStyle name="Header1" xfId="523"/>
    <cellStyle name="Header2" xfId="524"/>
    <cellStyle name="Header2 2" xfId="6455"/>
    <cellStyle name="Heading" xfId="6456"/>
    <cellStyle name="Heading 1" xfId="7317"/>
    <cellStyle name="Heading 1 2" xfId="3313"/>
    <cellStyle name="Heading 1 2 2" xfId="6458"/>
    <cellStyle name="Heading 1 3" xfId="6457"/>
    <cellStyle name="Heading 2" xfId="7318"/>
    <cellStyle name="Heading 2 2" xfId="3314"/>
    <cellStyle name="Heading 2 2 2" xfId="6459"/>
    <cellStyle name="Heading 2 3" xfId="6460"/>
    <cellStyle name="Heading 2 4" xfId="6461"/>
    <cellStyle name="Heading 3" xfId="7319"/>
    <cellStyle name="Heading 3 2" xfId="3315"/>
    <cellStyle name="Heading 3 2 2" xfId="6462"/>
    <cellStyle name="Heading 3 3" xfId="6463"/>
    <cellStyle name="Heading 3 4" xfId="6464"/>
    <cellStyle name="Heading 4" xfId="7320"/>
    <cellStyle name="Heading 4 2" xfId="3316"/>
    <cellStyle name="Heading 4 2 2" xfId="6466"/>
    <cellStyle name="Heading 4 3" xfId="6465"/>
    <cellStyle name="Heading 5" xfId="6467"/>
    <cellStyle name="Heading 5 2" xfId="6468"/>
    <cellStyle name="Heading 6" xfId="6469"/>
    <cellStyle name="Heading 6 2" xfId="6470"/>
    <cellStyle name="Heading 7" xfId="6471"/>
    <cellStyle name="Heading 8" xfId="6472"/>
    <cellStyle name="Heading1" xfId="6473"/>
    <cellStyle name="Heading2" xfId="6474"/>
    <cellStyle name="HEADINGS" xfId="525"/>
    <cellStyle name="HEADINGSTOP" xfId="526"/>
    <cellStyle name="Headline" xfId="3317"/>
    <cellStyle name="Headline Black" xfId="6475"/>
    <cellStyle name="Headline Black 2" xfId="6476"/>
    <cellStyle name="Headline Black 2 2" xfId="6477"/>
    <cellStyle name="Headline Black 3" xfId="6478"/>
    <cellStyle name="Headline Black 3 2" xfId="6479"/>
    <cellStyle name="Headline Black 4" xfId="6480"/>
    <cellStyle name="Headline Black 5" xfId="6481"/>
    <cellStyle name="Headline Blue" xfId="6482"/>
    <cellStyle name="Headline Blue 2" xfId="6483"/>
    <cellStyle name="Headline Blue 2 2" xfId="6484"/>
    <cellStyle name="Headline Blue 3" xfId="6485"/>
    <cellStyle name="Headline Blue 3 2" xfId="6486"/>
    <cellStyle name="Headline Blue 4" xfId="6487"/>
    <cellStyle name="Headline Blue 5" xfId="6488"/>
    <cellStyle name="Headline1" xfId="3318"/>
    <cellStyle name="Headline1 2" xfId="6489"/>
    <cellStyle name="hidden" xfId="527"/>
    <cellStyle name="Hyperlink 2" xfId="3319"/>
    <cellStyle name="Hyperlink 2 2" xfId="3320"/>
    <cellStyle name="Hyperlink 2 3" xfId="3321"/>
    <cellStyle name="Hyperlink 3" xfId="3322"/>
    <cellStyle name="Hyperlink 4" xfId="3323"/>
    <cellStyle name="Index_entry_xlr8r" xfId="6490"/>
    <cellStyle name="input" xfId="528"/>
    <cellStyle name="Input %0" xfId="3324"/>
    <cellStyle name="Input %0 2" xfId="6491"/>
    <cellStyle name="Input (%)" xfId="3325"/>
    <cellStyle name="Input (Color 04)" xfId="3326"/>
    <cellStyle name="Input (Color 04) 2" xfId="3327"/>
    <cellStyle name="Input (Color 05)" xfId="3328"/>
    <cellStyle name="Input (Color 05) 2" xfId="3329"/>
    <cellStyle name="Input (font blue bold)" xfId="3330"/>
    <cellStyle name="Input (font blue italic)" xfId="3331"/>
    <cellStyle name="Input (font blue)" xfId="3332"/>
    <cellStyle name="Input (font blue) 2" xfId="3333"/>
    <cellStyle name="Input (No)" xfId="3334"/>
    <cellStyle name="Input [yellow]" xfId="529"/>
    <cellStyle name="Input [yellow] 2" xfId="3335"/>
    <cellStyle name="Input [yellow] 3" xfId="6492"/>
    <cellStyle name="Input +000" xfId="3336"/>
    <cellStyle name="Input +000 2" xfId="6493"/>
    <cellStyle name="Input 00" xfId="3337"/>
    <cellStyle name="Input 00 2" xfId="6494"/>
    <cellStyle name="Input 000" xfId="3338"/>
    <cellStyle name="Input 000 2" xfId="6495"/>
    <cellStyle name="Input 1" xfId="3339"/>
    <cellStyle name="input 2" xfId="3340"/>
    <cellStyle name="Input 2 2" xfId="3341"/>
    <cellStyle name="input 2 3" xfId="6496"/>
    <cellStyle name="Input 2_2012 PL" xfId="3342"/>
    <cellStyle name="input 3" xfId="3343"/>
    <cellStyle name="input 3 2" xfId="6497"/>
    <cellStyle name="Input 4" xfId="6498"/>
    <cellStyle name="Input Cells" xfId="530"/>
    <cellStyle name="Input estimate" xfId="531"/>
    <cellStyle name="Input Percent" xfId="6499"/>
    <cellStyle name="Input Percent 2" xfId="6500"/>
    <cellStyle name="Input Percent 2 2" xfId="6501"/>
    <cellStyle name="Input Percent 3" xfId="6502"/>
    <cellStyle name="Input Percent 3 2" xfId="6503"/>
    <cellStyle name="Input Percent 4" xfId="6504"/>
    <cellStyle name="Input Percent 5" xfId="6505"/>
    <cellStyle name="Input/mixed (red bold)" xfId="3344"/>
    <cellStyle name="Input/mixed (red italic)" xfId="3345"/>
    <cellStyle name="Input/mixed (red)" xfId="3346"/>
    <cellStyle name="Input/mixed (red) 2" xfId="3347"/>
    <cellStyle name="Input_~0063600" xfId="6506"/>
    <cellStyle name="InputBlueFont" xfId="6507"/>
    <cellStyle name="InputBlueFontLocked" xfId="6508"/>
    <cellStyle name="Invoer 2" xfId="6509"/>
    <cellStyle name="J.P.M. input" xfId="3348"/>
    <cellStyle name="J.P.M. input 2" xfId="6510"/>
    <cellStyle name="Jun" xfId="532"/>
    <cellStyle name="Jun 2" xfId="3349"/>
    <cellStyle name="Jun 2 2" xfId="3350"/>
    <cellStyle name="Jun 3" xfId="3351"/>
    <cellStyle name="Jun_2012 PL" xfId="3352"/>
    <cellStyle name="Key driver (pink shading)" xfId="3353"/>
    <cellStyle name="km" xfId="3354"/>
    <cellStyle name="km 2" xfId="3355"/>
    <cellStyle name="Komma" xfId="1" builtinId="3"/>
    <cellStyle name="Komma 2" xfId="533"/>
    <cellStyle name="Komma 2 2" xfId="534"/>
    <cellStyle name="Komma 2 2 2" xfId="6513"/>
    <cellStyle name="Komma 2 2 3" xfId="6514"/>
    <cellStyle name="Komma 2 2 4" xfId="6515"/>
    <cellStyle name="Komma 2 2 5" xfId="6512"/>
    <cellStyle name="Komma 2 3" xfId="3356"/>
    <cellStyle name="Komma 2 3 2" xfId="6517"/>
    <cellStyle name="Komma 2 3 3" xfId="6516"/>
    <cellStyle name="Komma 2 4" xfId="6518"/>
    <cellStyle name="Komma 2 4 2" xfId="6519"/>
    <cellStyle name="Komma 2 5" xfId="6511"/>
    <cellStyle name="Komma 3" xfId="535"/>
    <cellStyle name="Komma 3 2" xfId="3357"/>
    <cellStyle name="Komma 3 2 2" xfId="6521"/>
    <cellStyle name="Komma 3 3" xfId="6522"/>
    <cellStyle name="Komma 3 4" xfId="6523"/>
    <cellStyle name="Komma 3 5" xfId="6520"/>
    <cellStyle name="Komma 4" xfId="536"/>
    <cellStyle name="Komma 4 2" xfId="6525"/>
    <cellStyle name="Komma 4 2 2" xfId="6526"/>
    <cellStyle name="Komma 4 2 3" xfId="6527"/>
    <cellStyle name="Komma 4 3" xfId="6524"/>
    <cellStyle name="Komma 5" xfId="3358"/>
    <cellStyle name="Komma 5 2" xfId="6528"/>
    <cellStyle name="Komma 6" xfId="6529"/>
    <cellStyle name="Komma 7" xfId="6530"/>
    <cellStyle name="Komma 8" xfId="6531"/>
    <cellStyle name="Kop 1 2" xfId="6532"/>
    <cellStyle name="Kop 2 2" xfId="6533"/>
    <cellStyle name="Kop 3 2" xfId="6534"/>
    <cellStyle name="Kop 4 2" xfId="6535"/>
    <cellStyle name="KPMG Heading 1" xfId="3359"/>
    <cellStyle name="KPMG Heading 2" xfId="3360"/>
    <cellStyle name="KPMG Heading 3" xfId="3361"/>
    <cellStyle name="KPMG Heading 4" xfId="3362"/>
    <cellStyle name="KPMG Normal" xfId="3363"/>
    <cellStyle name="KPMG Normal Text" xfId="3364"/>
    <cellStyle name="kW" xfId="3365"/>
    <cellStyle name="kW 2" xfId="3366"/>
    <cellStyle name="kWh" xfId="3367"/>
    <cellStyle name="left" xfId="3368"/>
    <cellStyle name="Legal 8½ x 14 in" xfId="537"/>
    <cellStyle name="Legal 8½ x 14 in 2" xfId="3369"/>
    <cellStyle name="Legal 8½ x 14 in 2 2" xfId="6536"/>
    <cellStyle name="Legal 8½ x 14 in 3" xfId="3370"/>
    <cellStyle name="Legal 8½ x 14 in 3 2" xfId="6537"/>
    <cellStyle name="LineItemPrompt" xfId="538"/>
    <cellStyle name="LineItemValue" xfId="539"/>
    <cellStyle name="LineItemValue 2" xfId="6539"/>
    <cellStyle name="LineItemValue 2 2" xfId="6540"/>
    <cellStyle name="LineItemValue 3" xfId="6541"/>
    <cellStyle name="LineItemValue 3 2" xfId="6542"/>
    <cellStyle name="LineItemValue 4" xfId="6543"/>
    <cellStyle name="LineItemValue 5" xfId="6544"/>
    <cellStyle name="LineItemValue 6" xfId="6538"/>
    <cellStyle name="Link (historical data)" xfId="3371"/>
    <cellStyle name="Link comment" xfId="3372"/>
    <cellStyle name="Link comment 2" xfId="3373"/>
    <cellStyle name="Link Currency (0)" xfId="3374"/>
    <cellStyle name="Link Currency (0) 2" xfId="6545"/>
    <cellStyle name="Link Currency (2)" xfId="3375"/>
    <cellStyle name="Link Currency (2) 2" xfId="6546"/>
    <cellStyle name="Link Units (0)" xfId="3376"/>
    <cellStyle name="Link Units (0) 2" xfId="6547"/>
    <cellStyle name="Link Units (1)" xfId="3377"/>
    <cellStyle name="Link Units (1) 2" xfId="6548"/>
    <cellStyle name="Link Units (2)" xfId="3378"/>
    <cellStyle name="Link Units (2) 2" xfId="6549"/>
    <cellStyle name="linked" xfId="540"/>
    <cellStyle name="Linked (green bold)" xfId="3379"/>
    <cellStyle name="Linked (green italic)" xfId="3380"/>
    <cellStyle name="Linked (green)" xfId="3381"/>
    <cellStyle name="Linked (green) 2" xfId="3382"/>
    <cellStyle name="linked 2" xfId="3383"/>
    <cellStyle name="linked 2 2" xfId="3384"/>
    <cellStyle name="linked 3" xfId="6550"/>
    <cellStyle name="Linked Cell" xfId="7321"/>
    <cellStyle name="Linked Cell 2" xfId="3385"/>
    <cellStyle name="Linked Cell 3" xfId="6551"/>
    <cellStyle name="Linked Cells" xfId="541"/>
    <cellStyle name="LN" xfId="542"/>
    <cellStyle name="LN 2" xfId="543"/>
    <cellStyle name="LN 2 2" xfId="3386"/>
    <cellStyle name="LN 2 2 2" xfId="6554"/>
    <cellStyle name="LN 2 3" xfId="6553"/>
    <cellStyle name="LN 3" xfId="3387"/>
    <cellStyle name="LN 3 2" xfId="6556"/>
    <cellStyle name="LN 3 3" xfId="6555"/>
    <cellStyle name="LN 4" xfId="6557"/>
    <cellStyle name="LN 5" xfId="6558"/>
    <cellStyle name="LN 6" xfId="6552"/>
    <cellStyle name="Lock" xfId="3388"/>
    <cellStyle name="Lock partiel" xfId="3389"/>
    <cellStyle name="Lock partiel 2" xfId="6559"/>
    <cellStyle name="LongDesc" xfId="544"/>
    <cellStyle name="m" xfId="3390"/>
    <cellStyle name="m 2" xfId="3391"/>
    <cellStyle name="m²" xfId="3392"/>
    <cellStyle name="m³" xfId="3393"/>
    <cellStyle name="Main Title" xfId="6560"/>
    <cellStyle name="Main Title 2" xfId="6561"/>
    <cellStyle name="Main Title 2 2" xfId="6562"/>
    <cellStyle name="Main Title 3" xfId="6563"/>
    <cellStyle name="Main Title 3 2" xfId="6564"/>
    <cellStyle name="Main Title 4" xfId="6565"/>
    <cellStyle name="Main Title 5" xfId="6566"/>
    <cellStyle name="MandatoryText" xfId="3394"/>
    <cellStyle name="Migliaia_IT_Budget06 2nd Round ppt" xfId="3395"/>
    <cellStyle name="Millares [0]_!!!GO" xfId="545"/>
    <cellStyle name="Millares_!!!GO" xfId="546"/>
    <cellStyle name="Milliers [0]_!!!GO" xfId="547"/>
    <cellStyle name="Milliers_!!!GO" xfId="548"/>
    <cellStyle name="Millions" xfId="6567"/>
    <cellStyle name="Millions 2" xfId="6568"/>
    <cellStyle name="Millions 2 2" xfId="6569"/>
    <cellStyle name="Millions 3" xfId="6570"/>
    <cellStyle name="Millions 3 2" xfId="6571"/>
    <cellStyle name="Millions 4" xfId="6572"/>
    <cellStyle name="Millions 5" xfId="6573"/>
    <cellStyle name="Model" xfId="3396"/>
    <cellStyle name="Moneda [0]_!!!GO" xfId="549"/>
    <cellStyle name="Moneda_!!!GO" xfId="550"/>
    <cellStyle name="Monetaire [0]_!!!GO" xfId="551"/>
    <cellStyle name="Monétaire [0]_!!!GO" xfId="552"/>
    <cellStyle name="Monetaire [0]_!!!GO 2" xfId="553"/>
    <cellStyle name="Monétaire [0]_!!!GO 2" xfId="554"/>
    <cellStyle name="Monetaire [0]_!!!GO 3" xfId="3397"/>
    <cellStyle name="Monétaire [0]_!!!GO 3" xfId="3398"/>
    <cellStyle name="Monetaire [0]_!!!GO_1" xfId="555"/>
    <cellStyle name="Monétaire [0]_!!!GO_1" xfId="556"/>
    <cellStyle name="Monetaire [0]_!!!GO_1 2" xfId="557"/>
    <cellStyle name="Monétaire [0]_!!!GO_1 2" xfId="558"/>
    <cellStyle name="Monetaire [0]_!!!GO_1 3" xfId="3399"/>
    <cellStyle name="Monétaire [0]_!!!GO_1 3" xfId="3400"/>
    <cellStyle name="Monetaire [0]_CTC" xfId="559"/>
    <cellStyle name="Monétaire [0]_CTC" xfId="560"/>
    <cellStyle name="Monetaire [0]_CTC 2" xfId="561"/>
    <cellStyle name="Monétaire [0]_CTC 2" xfId="562"/>
    <cellStyle name="Monetaire [0]_CTC 3" xfId="3401"/>
    <cellStyle name="Monétaire [0]_CTC 3" xfId="3402"/>
    <cellStyle name="Monetaire [0]_CTC_!!!GO" xfId="563"/>
    <cellStyle name="Monétaire [0]_CTC_!!!GO" xfId="564"/>
    <cellStyle name="Monetaire [0]_CTC_!!!GO 2" xfId="565"/>
    <cellStyle name="Monétaire [0]_CTC_!!!GO 2" xfId="566"/>
    <cellStyle name="Monetaire [0]_CTC_!!!GO 3" xfId="3403"/>
    <cellStyle name="Monétaire [0]_CTC_!!!GO 3" xfId="3404"/>
    <cellStyle name="Monetaire [0]_DIRECTIONS" xfId="567"/>
    <cellStyle name="Monétaire [0]_DIRECTIONS" xfId="568"/>
    <cellStyle name="Monetaire [0]_DIRECTIONS 2" xfId="569"/>
    <cellStyle name="Monétaire [0]_DIRECTIONS 2" xfId="570"/>
    <cellStyle name="Monetaire [0]_DIRECTIONS 3" xfId="3405"/>
    <cellStyle name="Monétaire [0]_DIRECTIONS 3" xfId="3406"/>
    <cellStyle name="Monetaire [0]_DIRECTIONS_!!!GO" xfId="571"/>
    <cellStyle name="Monétaire [0]_DIRECTIONS_!!!GO" xfId="572"/>
    <cellStyle name="Monetaire [0]_DIRECTIONS_!!!GO 2" xfId="573"/>
    <cellStyle name="Monétaire [0]_DIRECTIONS_!!!GO 2" xfId="574"/>
    <cellStyle name="Monetaire [0]_DIRECTIONS_!!!GO 3" xfId="3407"/>
    <cellStyle name="Monétaire [0]_DIRECTIONS_!!!GO 3" xfId="3408"/>
    <cellStyle name="Monetaire [0]_laroux" xfId="575"/>
    <cellStyle name="Monétaire [0]_laroux" xfId="576"/>
    <cellStyle name="Monetaire [0]_laroux 2" xfId="577"/>
    <cellStyle name="Monétaire [0]_laroux 2" xfId="578"/>
    <cellStyle name="Monetaire [0]_laroux 3" xfId="3409"/>
    <cellStyle name="Monétaire [0]_laroux 3" xfId="3410"/>
    <cellStyle name="Monetaire [0]_laroux_1" xfId="579"/>
    <cellStyle name="Monétaire [0]_laroux_1" xfId="580"/>
    <cellStyle name="Monetaire [0]_laroux_1 2" xfId="581"/>
    <cellStyle name="Monétaire [0]_laroux_1 2" xfId="582"/>
    <cellStyle name="Monetaire [0]_laroux_1 3" xfId="3411"/>
    <cellStyle name="Monétaire [0]_laroux_1 3" xfId="3412"/>
    <cellStyle name="Monetaire [0]_liste principale 1998" xfId="583"/>
    <cellStyle name="Monétaire [0]_liste principale 1998" xfId="584"/>
    <cellStyle name="Monetaire [0]_liste principale 1998 2" xfId="585"/>
    <cellStyle name="Monétaire [0]_liste principale 1998 2" xfId="586"/>
    <cellStyle name="Monetaire [0]_liste principale 1998 3" xfId="3413"/>
    <cellStyle name="Monétaire [0]_liste principale 1998 3" xfId="3414"/>
    <cellStyle name="Monetaire [0]_liste principale 1998_!!!GO" xfId="587"/>
    <cellStyle name="Monétaire [0]_liste principale 1998_!!!GO" xfId="588"/>
    <cellStyle name="Monetaire [0]_liste principale 1998_!!!GO 2" xfId="589"/>
    <cellStyle name="Monétaire [0]_liste principale 1998_!!!GO 2" xfId="590"/>
    <cellStyle name="Monetaire [0]_liste principale 1998_!!!GO 3" xfId="3415"/>
    <cellStyle name="Monétaire [0]_liste principale 1998_!!!GO 3" xfId="3416"/>
    <cellStyle name="Monetaire [0]_pldt" xfId="591"/>
    <cellStyle name="Monétaire [0]_pldt" xfId="592"/>
    <cellStyle name="Monetaire [0]_pldt 2" xfId="593"/>
    <cellStyle name="Monétaire [0]_pldt 2" xfId="594"/>
    <cellStyle name="Monetaire [0]_pldt 3" xfId="3417"/>
    <cellStyle name="Monétaire [0]_pldt 3" xfId="3418"/>
    <cellStyle name="Monetaire [0]_pldt_1" xfId="595"/>
    <cellStyle name="Monétaire [0]_pldt_1" xfId="596"/>
    <cellStyle name="Monetaire [0]_pldt_1 2" xfId="597"/>
    <cellStyle name="Monétaire [0]_pldt_1 2" xfId="598"/>
    <cellStyle name="Monetaire [0]_pldt_1 3" xfId="3419"/>
    <cellStyle name="Monétaire [0]_pldt_1 3" xfId="3420"/>
    <cellStyle name="Monetaire_!!!GO" xfId="599"/>
    <cellStyle name="Monétaire_!!!GO" xfId="600"/>
    <cellStyle name="Monetaire_!!!GO 2" xfId="601"/>
    <cellStyle name="Monétaire_!!!GO 2" xfId="602"/>
    <cellStyle name="Monetaire_!!!GO 3" xfId="3421"/>
    <cellStyle name="Monétaire_!!!GO 3" xfId="3422"/>
    <cellStyle name="Monetaire_!!!GO_1" xfId="603"/>
    <cellStyle name="Monétaire_!!!GO_1" xfId="604"/>
    <cellStyle name="Monetaire_!!!GO_1 2" xfId="605"/>
    <cellStyle name="Monétaire_!!!GO_1 2" xfId="606"/>
    <cellStyle name="Monetaire_!!!GO_1 3" xfId="3423"/>
    <cellStyle name="Monétaire_!!!GO_1 3" xfId="3424"/>
    <cellStyle name="Monetaire_CTC" xfId="607"/>
    <cellStyle name="Monétaire_CTC" xfId="608"/>
    <cellStyle name="Monetaire_CTC 2" xfId="609"/>
    <cellStyle name="Monétaire_CTC 2" xfId="610"/>
    <cellStyle name="Monetaire_CTC 3" xfId="3425"/>
    <cellStyle name="Monétaire_CTC 3" xfId="3426"/>
    <cellStyle name="Monetaire_CTC_!!!GO" xfId="611"/>
    <cellStyle name="Monétaire_CTC_!!!GO" xfId="612"/>
    <cellStyle name="Monetaire_CTC_!!!GO 2" xfId="613"/>
    <cellStyle name="Monétaire_CTC_!!!GO 2" xfId="614"/>
    <cellStyle name="Monetaire_CTC_!!!GO 3" xfId="3427"/>
    <cellStyle name="Monétaire_CTC_!!!GO 3" xfId="3428"/>
    <cellStyle name="Monetaire_DIRECTIONS" xfId="615"/>
    <cellStyle name="Monétaire_DIRECTIONS" xfId="616"/>
    <cellStyle name="Monetaire_DIRECTIONS 2" xfId="617"/>
    <cellStyle name="Monétaire_DIRECTIONS 2" xfId="618"/>
    <cellStyle name="Monetaire_DIRECTIONS 3" xfId="3429"/>
    <cellStyle name="Monétaire_DIRECTIONS 3" xfId="3430"/>
    <cellStyle name="Monetaire_DIRECTIONS_!!!GO" xfId="619"/>
    <cellStyle name="Monétaire_DIRECTIONS_!!!GO" xfId="620"/>
    <cellStyle name="Monetaire_DIRECTIONS_!!!GO 2" xfId="621"/>
    <cellStyle name="Monétaire_DIRECTIONS_!!!GO 2" xfId="622"/>
    <cellStyle name="Monetaire_DIRECTIONS_!!!GO 3" xfId="3431"/>
    <cellStyle name="Monétaire_DIRECTIONS_!!!GO 3" xfId="3432"/>
    <cellStyle name="Monetaire_laroux" xfId="623"/>
    <cellStyle name="Monétaire_laroux" xfId="624"/>
    <cellStyle name="Monetaire_laroux 2" xfId="625"/>
    <cellStyle name="Monétaire_laroux 2" xfId="626"/>
    <cellStyle name="Monetaire_laroux 3" xfId="3433"/>
    <cellStyle name="Monétaire_laroux 3" xfId="3434"/>
    <cellStyle name="Monetaire_laroux_1" xfId="627"/>
    <cellStyle name="Monétaire_laroux_1" xfId="628"/>
    <cellStyle name="Monetaire_laroux_1 2" xfId="629"/>
    <cellStyle name="Monétaire_laroux_1 2" xfId="630"/>
    <cellStyle name="Monetaire_laroux_1 3" xfId="3435"/>
    <cellStyle name="Monétaire_laroux_1 3" xfId="3436"/>
    <cellStyle name="Monetaire_liste principale 1998" xfId="631"/>
    <cellStyle name="Monétaire_liste principale 1998" xfId="632"/>
    <cellStyle name="Monetaire_liste principale 1998 2" xfId="633"/>
    <cellStyle name="Monétaire_liste principale 1998 2" xfId="634"/>
    <cellStyle name="Monetaire_liste principale 1998 3" xfId="3437"/>
    <cellStyle name="Monétaire_liste principale 1998 3" xfId="3438"/>
    <cellStyle name="Monetaire_liste principale 1998_!!!GO" xfId="635"/>
    <cellStyle name="Monétaire_liste principale 1998_!!!GO" xfId="636"/>
    <cellStyle name="Monetaire_liste principale 1998_!!!GO 2" xfId="637"/>
    <cellStyle name="Monétaire_liste principale 1998_!!!GO 2" xfId="638"/>
    <cellStyle name="Monetaire_liste principale 1998_!!!GO 3" xfId="3439"/>
    <cellStyle name="Monétaire_liste principale 1998_!!!GO 3" xfId="3440"/>
    <cellStyle name="Monetaire_pldt" xfId="639"/>
    <cellStyle name="Monétaire_pldt" xfId="640"/>
    <cellStyle name="Monetaire_pldt 2" xfId="641"/>
    <cellStyle name="Monétaire_pldt 2" xfId="642"/>
    <cellStyle name="Monetaire_pldt 3" xfId="3441"/>
    <cellStyle name="Monétaire_pldt 3" xfId="3442"/>
    <cellStyle name="Monetaire_pldt_1" xfId="643"/>
    <cellStyle name="Monétaire_pldt_1" xfId="644"/>
    <cellStyle name="Monetaire_pldt_1 2" xfId="645"/>
    <cellStyle name="Monétaire_pldt_1 2" xfId="646"/>
    <cellStyle name="Monetaire_pldt_1 3" xfId="3443"/>
    <cellStyle name="Monétaire_pldt_1 3" xfId="3444"/>
    <cellStyle name="Multiple" xfId="647"/>
    <cellStyle name="Multiple 2" xfId="6574"/>
    <cellStyle name="MW" xfId="3445"/>
    <cellStyle name="MW 2" xfId="3446"/>
    <cellStyle name="MWh" xfId="3447"/>
    <cellStyle name="n2" xfId="6575"/>
    <cellStyle name="n2 2" xfId="6576"/>
    <cellStyle name="Name" xfId="648"/>
    <cellStyle name="Named Range" xfId="3448"/>
    <cellStyle name="Named Range Tag" xfId="3449"/>
    <cellStyle name="Named Range_11" xfId="3450"/>
    <cellStyle name="NetcareBorderCell" xfId="649"/>
    <cellStyle name="Neutraal 2" xfId="6577"/>
    <cellStyle name="Neutral" xfId="7322"/>
    <cellStyle name="Neutral 2" xfId="3451"/>
    <cellStyle name="Neutral 3" xfId="6578"/>
    <cellStyle name="New" xfId="650"/>
    <cellStyle name="new 2" xfId="6579"/>
    <cellStyle name="no" xfId="6580"/>
    <cellStyle name="no 2" xfId="6581"/>
    <cellStyle name="no 2 2" xfId="6582"/>
    <cellStyle name="no 3" xfId="6583"/>
    <cellStyle name="no 3 2" xfId="6584"/>
    <cellStyle name="no 4" xfId="6585"/>
    <cellStyle name="no 5" xfId="6586"/>
    <cellStyle name="no dec" xfId="651"/>
    <cellStyle name="no dec 2" xfId="6588"/>
    <cellStyle name="no dec 2 2" xfId="6589"/>
    <cellStyle name="no dec 3" xfId="6590"/>
    <cellStyle name="no dec 3 2" xfId="6591"/>
    <cellStyle name="no dec 4" xfId="6592"/>
    <cellStyle name="no dec 5" xfId="6593"/>
    <cellStyle name="no dec 6" xfId="6587"/>
    <cellStyle name="no_101018 BP Check OLS" xfId="6594"/>
    <cellStyle name="Norm੎੎" xfId="3452"/>
    <cellStyle name="Normaal 8 0.0" xfId="6595"/>
    <cellStyle name="Normal - Style1" xfId="652"/>
    <cellStyle name="Normal - Style1 2" xfId="653"/>
    <cellStyle name="Normal - Style1 2 2" xfId="6597"/>
    <cellStyle name="Normal - Style1 3" xfId="3453"/>
    <cellStyle name="Normal - Style1 4" xfId="6596"/>
    <cellStyle name="Normal - Style1_Pivot" xfId="6598"/>
    <cellStyle name="Normal (%)" xfId="3454"/>
    <cellStyle name="Normal ()" xfId="3455"/>
    <cellStyle name="Normal () 2" xfId="3456"/>
    <cellStyle name="Normal (£m)" xfId="3457"/>
    <cellStyle name="Normal (0.00)" xfId="3458"/>
    <cellStyle name="Normal (0.00) 2" xfId="3459"/>
    <cellStyle name="Normal 10" xfId="654"/>
    <cellStyle name="Normal 10 2" xfId="3460"/>
    <cellStyle name="Normal 10 3" xfId="3461"/>
    <cellStyle name="Normal 10_Copy of Org tabel menu kaart" xfId="3462"/>
    <cellStyle name="Normal 11" xfId="3463"/>
    <cellStyle name="Normal 11 2" xfId="3464"/>
    <cellStyle name="Normal 11_Sold" xfId="3465"/>
    <cellStyle name="Normal 12" xfId="3466"/>
    <cellStyle name="Normal 12 2" xfId="3467"/>
    <cellStyle name="Normal 12_Sold" xfId="3468"/>
    <cellStyle name="Normal 13" xfId="3469"/>
    <cellStyle name="Normal 13 2" xfId="3470"/>
    <cellStyle name="Normal 13_Sold" xfId="3471"/>
    <cellStyle name="Normal 14" xfId="3472"/>
    <cellStyle name="Normal 14 2" xfId="3473"/>
    <cellStyle name="Normal 14_Sold" xfId="3474"/>
    <cellStyle name="Normal 15" xfId="3475"/>
    <cellStyle name="Normal 15 2" xfId="3476"/>
    <cellStyle name="Normal 15_Model Plan 2012" xfId="3477"/>
    <cellStyle name="Normal 16" xfId="3478"/>
    <cellStyle name="Normal 17" xfId="3479"/>
    <cellStyle name="Normal 18" xfId="3480"/>
    <cellStyle name="Normal 19" xfId="3481"/>
    <cellStyle name="Normal 2" xfId="3"/>
    <cellStyle name="Normal 2 2" xfId="655"/>
    <cellStyle name="Normal 2 2 2" xfId="656"/>
    <cellStyle name="Normal 2 2 2 2" xfId="3482"/>
    <cellStyle name="Normal 2 2 2 2 2" xfId="6600"/>
    <cellStyle name="Normal 2 2 2 3" xfId="3483"/>
    <cellStyle name="Normal 2 2 2 4" xfId="6599"/>
    <cellStyle name="Normal 2 2 3" xfId="3484"/>
    <cellStyle name="Normal 2 2 3 2" xfId="6601"/>
    <cellStyle name="Normal 2 2 4" xfId="3485"/>
    <cellStyle name="Normal 2 2_2012 PL" xfId="3486"/>
    <cellStyle name="Normal 2 3" xfId="3487"/>
    <cellStyle name="Normal 2 3 2" xfId="3488"/>
    <cellStyle name="Normal 2 3 2 2" xfId="6603"/>
    <cellStyle name="Normal 2 3 3" xfId="3489"/>
    <cellStyle name="Normal 2 3 4" xfId="3490"/>
    <cellStyle name="Normal 2 3 5" xfId="6602"/>
    <cellStyle name="Normal 2 3_Coverage" xfId="3491"/>
    <cellStyle name="Normal 2 4" xfId="3492"/>
    <cellStyle name="Normal 2 4 2" xfId="6604"/>
    <cellStyle name="Normal 2 5" xfId="3493"/>
    <cellStyle name="Normal 2 5 2" xfId="6605"/>
    <cellStyle name="Normal 2 6" xfId="3494"/>
    <cellStyle name="Normal 2 7" xfId="3495"/>
    <cellStyle name="Normal 2 8" xfId="3496"/>
    <cellStyle name="Normal 2 9" xfId="3497"/>
    <cellStyle name="Normal 2_2012 PL" xfId="3498"/>
    <cellStyle name="Normal 20" xfId="3499"/>
    <cellStyle name="Normal 21" xfId="3500"/>
    <cellStyle name="Normal 22" xfId="3501"/>
    <cellStyle name="Normal 23" xfId="3502"/>
    <cellStyle name="Normal 24" xfId="3503"/>
    <cellStyle name="Normal 28" xfId="3504"/>
    <cellStyle name="Normal 28 2" xfId="3505"/>
    <cellStyle name="Normal 3" xfId="657"/>
    <cellStyle name="Normal 3 2" xfId="3506"/>
    <cellStyle name="Normal 3 2 2" xfId="3507"/>
    <cellStyle name="Normal 3 2 2 2" xfId="3508"/>
    <cellStyle name="Normal 3 2 2_Sold" xfId="3509"/>
    <cellStyle name="Normal 3 2 3" xfId="3510"/>
    <cellStyle name="Normal 3 2 3 2" xfId="3511"/>
    <cellStyle name="Normal 3 2 3_Sold" xfId="3512"/>
    <cellStyle name="Normal 3 2 4" xfId="3513"/>
    <cellStyle name="Normal 3 2_Coverage" xfId="3514"/>
    <cellStyle name="Normal 3 3" xfId="3515"/>
    <cellStyle name="Normal 3 3 2" xfId="3516"/>
    <cellStyle name="Normal 3 3_Sold" xfId="3517"/>
    <cellStyle name="Normal 3 4" xfId="3518"/>
    <cellStyle name="Normal 3 4 2" xfId="3519"/>
    <cellStyle name="Normal 3 4_Sold" xfId="3520"/>
    <cellStyle name="Normal 3 5" xfId="3521"/>
    <cellStyle name="Normal 3_2012 PL" xfId="3522"/>
    <cellStyle name="Normal 4" xfId="658"/>
    <cellStyle name="Normal 4 2" xfId="3523"/>
    <cellStyle name="Normal 4 2 2" xfId="3524"/>
    <cellStyle name="Normal 4 2 2 2" xfId="6608"/>
    <cellStyle name="Normal 4 2 3" xfId="6607"/>
    <cellStyle name="Normal 4 2_P&amp;L WHS split prepaid postpaid M2M Actuals 2009 2010 input business cockpit" xfId="6609"/>
    <cellStyle name="Normal 4 3" xfId="3525"/>
    <cellStyle name="Normal 4 3 2" xfId="3526"/>
    <cellStyle name="Normal 4 3 3" xfId="6610"/>
    <cellStyle name="Normal 4 3_Sold" xfId="3527"/>
    <cellStyle name="Normal 4 4" xfId="3528"/>
    <cellStyle name="Normal 4 5" xfId="3529"/>
    <cellStyle name="Normal 4 6" xfId="6606"/>
    <cellStyle name="Normal 4_Copy of Org tabel menu kaart" xfId="3530"/>
    <cellStyle name="Normal 5" xfId="659"/>
    <cellStyle name="Normal 5 2" xfId="3531"/>
    <cellStyle name="Normal 5 2 2" xfId="3532"/>
    <cellStyle name="Normal 5 2 3" xfId="6612"/>
    <cellStyle name="Normal 5 2_Sold" xfId="3533"/>
    <cellStyle name="Normal 5 3" xfId="3534"/>
    <cellStyle name="Normal 5 4" xfId="3535"/>
    <cellStyle name="Normal 5 5" xfId="6611"/>
    <cellStyle name="Normal 5_Copy of Org tabel menu kaart" xfId="3536"/>
    <cellStyle name="Normal 6" xfId="660"/>
    <cellStyle name="Normal 6 2" xfId="3537"/>
    <cellStyle name="Normal 6 2 2" xfId="3538"/>
    <cellStyle name="Normal 6 2 3" xfId="3539"/>
    <cellStyle name="Normal 6 2 4" xfId="6613"/>
    <cellStyle name="Normal 6 2_Sold" xfId="3540"/>
    <cellStyle name="Normal 6 3" xfId="3541"/>
    <cellStyle name="Normal 6 4" xfId="3542"/>
    <cellStyle name="Normal 6_Coverage" xfId="3543"/>
    <cellStyle name="Normal 7" xfId="661"/>
    <cellStyle name="Normal 7 2" xfId="3544"/>
    <cellStyle name="Normal 7 2 2" xfId="3545"/>
    <cellStyle name="Normal 7 2 3" xfId="3546"/>
    <cellStyle name="Normal 7 2_Sold" xfId="3547"/>
    <cellStyle name="Normal 7 3" xfId="3548"/>
    <cellStyle name="Normal 7 4" xfId="3549"/>
    <cellStyle name="Normal 7 5" xfId="6614"/>
    <cellStyle name="Normal 7_Coverage" xfId="3550"/>
    <cellStyle name="Normal 8" xfId="3551"/>
    <cellStyle name="Normal 8 2" xfId="3552"/>
    <cellStyle name="Normal 8 3" xfId="3553"/>
    <cellStyle name="Normal 8 4" xfId="6615"/>
    <cellStyle name="Normal 8_Journal P05" xfId="3554"/>
    <cellStyle name="Normal 9" xfId="662"/>
    <cellStyle name="Normal 9 2" xfId="3555"/>
    <cellStyle name="Normal 9 3" xfId="3556"/>
    <cellStyle name="Normal 9_Copy of Org tabel menu kaart" xfId="3557"/>
    <cellStyle name="Normal_Incrementele kosten_20090507" xfId="10"/>
    <cellStyle name="Normal_Sheet1 2" xfId="6"/>
    <cellStyle name="Normale_pldt" xfId="3558"/>
    <cellStyle name="Normalny_56.Podstawowe dane o woj.(1)" xfId="3559"/>
    <cellStyle name="Note" xfId="7323"/>
    <cellStyle name="Note 2" xfId="3560"/>
    <cellStyle name="Note 2 2" xfId="3561"/>
    <cellStyle name="Note 2 2 2" xfId="6618"/>
    <cellStyle name="Note 2 3" xfId="6617"/>
    <cellStyle name="Note 2_GDC nieuwe pfc cc jan  2011 v4" xfId="3562"/>
    <cellStyle name="Note 3" xfId="3563"/>
    <cellStyle name="Note 3 2" xfId="3564"/>
    <cellStyle name="Note 3 2 2" xfId="6620"/>
    <cellStyle name="Note 3 3" xfId="6619"/>
    <cellStyle name="Note 4" xfId="6621"/>
    <cellStyle name="Note 5" xfId="6622"/>
    <cellStyle name="Note 6" xfId="6616"/>
    <cellStyle name="Notes" xfId="3565"/>
    <cellStyle name="Notes (w/o)" xfId="3566"/>
    <cellStyle name="Notes_080619_OBU035_Oerlikon Solar_valuae creation from JV options_v1600" xfId="3567"/>
    <cellStyle name="Notitie 2" xfId="663"/>
    <cellStyle name="Notitie 2 2" xfId="3568"/>
    <cellStyle name="Notitie 2 2 2" xfId="6625"/>
    <cellStyle name="Notitie 2 2 3" xfId="6626"/>
    <cellStyle name="Notitie 2 2 4" xfId="6624"/>
    <cellStyle name="Notitie 2 3" xfId="6627"/>
    <cellStyle name="Notitie 2 4" xfId="6628"/>
    <cellStyle name="Notitie 2 5" xfId="6623"/>
    <cellStyle name="Notitie 2_Sold" xfId="3569"/>
    <cellStyle name="Notitie 3" xfId="3570"/>
    <cellStyle name="Notitie 3 2" xfId="6630"/>
    <cellStyle name="Notitie 3 3" xfId="6629"/>
    <cellStyle name="Notitie 4" xfId="3571"/>
    <cellStyle name="Notitie 4 2" xfId="6631"/>
    <cellStyle name="Notitie 5" xfId="3572"/>
    <cellStyle name="Notitie 5 2" xfId="6632"/>
    <cellStyle name="Notitie 6" xfId="3573"/>
    <cellStyle name="Notitie 6 2" xfId="6633"/>
    <cellStyle name="Notitie 7" xfId="3574"/>
    <cellStyle name="Notitie 8" xfId="3575"/>
    <cellStyle name="Notitie 9" xfId="3576"/>
    <cellStyle name="Number" xfId="3577"/>
    <cellStyle name="ocultar" xfId="664"/>
    <cellStyle name="Œ…‹æØ‚è [0.00]_laroux" xfId="3578"/>
    <cellStyle name="Œ…‹æØ‚è_laroux" xfId="3579"/>
    <cellStyle name="oftware" xfId="6634"/>
    <cellStyle name="oftware 2" xfId="6635"/>
    <cellStyle name="oftware 2 2" xfId="6636"/>
    <cellStyle name="oftware 3" xfId="6637"/>
    <cellStyle name="oftware 3 2" xfId="6638"/>
    <cellStyle name="oftware 4" xfId="6639"/>
    <cellStyle name="oftware 5" xfId="6640"/>
    <cellStyle name="Ongeldig 2" xfId="6641"/>
    <cellStyle name="Option" xfId="3580"/>
    <cellStyle name="outh America" xfId="6642"/>
    <cellStyle name="outh America 2" xfId="6643"/>
    <cellStyle name="outh America 2 2" xfId="6644"/>
    <cellStyle name="outh America 3" xfId="6645"/>
    <cellStyle name="outh America 3 2" xfId="6646"/>
    <cellStyle name="outh America 4" xfId="6647"/>
    <cellStyle name="outh America 5" xfId="6648"/>
    <cellStyle name="Output" xfId="7324"/>
    <cellStyle name="Output (orange shading)" xfId="3581"/>
    <cellStyle name="Output (orange shading) 2" xfId="3582"/>
    <cellStyle name="Output 2" xfId="3583"/>
    <cellStyle name="Output 2 2" xfId="6650"/>
    <cellStyle name="Output 3" xfId="3584"/>
    <cellStyle name="Output 4" xfId="3585"/>
    <cellStyle name="Output 5" xfId="3586"/>
    <cellStyle name="Output 6" xfId="3587"/>
    <cellStyle name="Output 7" xfId="6649"/>
    <cellStyle name="Output Amounts" xfId="665"/>
    <cellStyle name="OUTPUT COLUMN HEADINGS" xfId="666"/>
    <cellStyle name="Output Column Headings 2" xfId="6651"/>
    <cellStyle name="Output Line Items" xfId="667"/>
    <cellStyle name="Output Line Items 2" xfId="6652"/>
    <cellStyle name="OUTPUT REPORT HEADING" xfId="668"/>
    <cellStyle name="Output Report Heading 2" xfId="6653"/>
    <cellStyle name="OUTPUT REPORT TITLE" xfId="669"/>
    <cellStyle name="Output Report Title 2" xfId="6654"/>
    <cellStyle name="p" xfId="6655"/>
    <cellStyle name="page" xfId="670"/>
    <cellStyle name="Page Number" xfId="671"/>
    <cellStyle name="page_ND5 squeeze model  whs-whs v2.21 DWDM ILL" xfId="3588"/>
    <cellStyle name="pe" xfId="6656"/>
    <cellStyle name="per" xfId="6657"/>
    <cellStyle name="per 2" xfId="6658"/>
    <cellStyle name="per 2 2" xfId="6659"/>
    <cellStyle name="per 3" xfId="6660"/>
    <cellStyle name="per 3 2" xfId="6661"/>
    <cellStyle name="per 4" xfId="6662"/>
    <cellStyle name="per 5" xfId="6663"/>
    <cellStyle name="per.style" xfId="672"/>
    <cellStyle name="Percen_Main" xfId="6664"/>
    <cellStyle name="Percent ()" xfId="3589"/>
    <cellStyle name="Percent (0)" xfId="3590"/>
    <cellStyle name="Percent (0) 2" xfId="3591"/>
    <cellStyle name="Percent (0) 2 2" xfId="6667"/>
    <cellStyle name="Percent (0) 2 3" xfId="6666"/>
    <cellStyle name="Percent (0) 3" xfId="6668"/>
    <cellStyle name="Percent (0) 3 2" xfId="6669"/>
    <cellStyle name="Percent (0) 4" xfId="6670"/>
    <cellStyle name="Percent (0) 5" xfId="6671"/>
    <cellStyle name="Percent (0) 6" xfId="6665"/>
    <cellStyle name="Percent [0]" xfId="3592"/>
    <cellStyle name="Percent [0] 2" xfId="6672"/>
    <cellStyle name="Percent [00]" xfId="3593"/>
    <cellStyle name="Percent [00] 2" xfId="6673"/>
    <cellStyle name="Percent [1]" xfId="6674"/>
    <cellStyle name="Percent [1] 2" xfId="6675"/>
    <cellStyle name="Percent [1] 2 2" xfId="6676"/>
    <cellStyle name="Percent [1] 3" xfId="6677"/>
    <cellStyle name="Percent [1] 3 2" xfId="6678"/>
    <cellStyle name="Percent [1] 4" xfId="6679"/>
    <cellStyle name="Percent [1] 5" xfId="6680"/>
    <cellStyle name="Percent [2]" xfId="673"/>
    <cellStyle name="Percent [2] 2" xfId="674"/>
    <cellStyle name="Percent [2] 3" xfId="3594"/>
    <cellStyle name="Percent 10" xfId="3595"/>
    <cellStyle name="Percent 11" xfId="3596"/>
    <cellStyle name="Percent 12" xfId="3597"/>
    <cellStyle name="Percent 13" xfId="3598"/>
    <cellStyle name="Percent 19" xfId="3599"/>
    <cellStyle name="Percent 2" xfId="675"/>
    <cellStyle name="Percent 2 10" xfId="3600"/>
    <cellStyle name="Percent 2 11" xfId="3601"/>
    <cellStyle name="Percent 2 2" xfId="676"/>
    <cellStyle name="Percent 2 2 2" xfId="6682"/>
    <cellStyle name="Percent 2 2 3" xfId="6681"/>
    <cellStyle name="Percent 2 3" xfId="3602"/>
    <cellStyle name="Percent 2 3 2" xfId="6683"/>
    <cellStyle name="Percent 2 4" xfId="3603"/>
    <cellStyle name="Percent 2 4 2" xfId="6684"/>
    <cellStyle name="Percent 2 5" xfId="3604"/>
    <cellStyle name="Percent 2 6" xfId="3605"/>
    <cellStyle name="Percent 2 7" xfId="3606"/>
    <cellStyle name="Percent 2 8" xfId="3607"/>
    <cellStyle name="Percent 2 9" xfId="3608"/>
    <cellStyle name="Percent 3" xfId="677"/>
    <cellStyle name="Percent 3 2" xfId="3609"/>
    <cellStyle name="Percent 3 2 2" xfId="6685"/>
    <cellStyle name="Percent 3 3" xfId="3610"/>
    <cellStyle name="Percent 4" xfId="678"/>
    <cellStyle name="Percent 4 2" xfId="3611"/>
    <cellStyle name="Percent 5" xfId="3612"/>
    <cellStyle name="Percent 5 2" xfId="3613"/>
    <cellStyle name="Percent 5 2 2" xfId="6687"/>
    <cellStyle name="Percent 5 3" xfId="6686"/>
    <cellStyle name="Percent 6" xfId="3614"/>
    <cellStyle name="Percent 7" xfId="3615"/>
    <cellStyle name="Percent 8" xfId="3616"/>
    <cellStyle name="Percent 9" xfId="3617"/>
    <cellStyle name="Percent Input" xfId="3618"/>
    <cellStyle name="Percentage (2dp)" xfId="679"/>
    <cellStyle name="Pound" xfId="6688"/>
    <cellStyle name="Pound [1]" xfId="6689"/>
    <cellStyle name="Pound [1] 2" xfId="6690"/>
    <cellStyle name="Pound [1] 2 2" xfId="6691"/>
    <cellStyle name="Pound [1] 3" xfId="6692"/>
    <cellStyle name="Pound [1] 3 2" xfId="6693"/>
    <cellStyle name="Pound [1] 4" xfId="6694"/>
    <cellStyle name="Pound [1] 5" xfId="6695"/>
    <cellStyle name="Pound [2]" xfId="6696"/>
    <cellStyle name="Pound [2] 2" xfId="6697"/>
    <cellStyle name="Pound [2] 2 2" xfId="6698"/>
    <cellStyle name="Pound [2] 3" xfId="6699"/>
    <cellStyle name="Pound [2] 3 2" xfId="6700"/>
    <cellStyle name="Pound [2] 4" xfId="6701"/>
    <cellStyle name="Pound [2] 5" xfId="6702"/>
    <cellStyle name="Pound 10" xfId="6703"/>
    <cellStyle name="Pound 10 2" xfId="6704"/>
    <cellStyle name="Pound 11" xfId="6705"/>
    <cellStyle name="Pound 11 2" xfId="6706"/>
    <cellStyle name="Pound 12" xfId="6707"/>
    <cellStyle name="Pound 12 2" xfId="6708"/>
    <cellStyle name="Pound 13" xfId="6709"/>
    <cellStyle name="Pound 13 2" xfId="6710"/>
    <cellStyle name="Pound 14" xfId="6711"/>
    <cellStyle name="Pound 14 2" xfId="6712"/>
    <cellStyle name="Pound 15" xfId="6713"/>
    <cellStyle name="Pound 15 2" xfId="6714"/>
    <cellStyle name="Pound 16" xfId="6715"/>
    <cellStyle name="Pound 16 2" xfId="6716"/>
    <cellStyle name="Pound 17" xfId="6717"/>
    <cellStyle name="Pound 17 2" xfId="6718"/>
    <cellStyle name="Pound 18" xfId="6719"/>
    <cellStyle name="Pound 18 2" xfId="6720"/>
    <cellStyle name="Pound 19" xfId="6721"/>
    <cellStyle name="Pound 19 2" xfId="6722"/>
    <cellStyle name="Pound 2" xfId="6723"/>
    <cellStyle name="Pound 2 2" xfId="6724"/>
    <cellStyle name="Pound 20" xfId="6725"/>
    <cellStyle name="Pound 20 2" xfId="6726"/>
    <cellStyle name="Pound 21" xfId="6727"/>
    <cellStyle name="Pound 21 2" xfId="6728"/>
    <cellStyle name="Pound 22" xfId="6729"/>
    <cellStyle name="Pound 22 2" xfId="6730"/>
    <cellStyle name="Pound 23" xfId="6731"/>
    <cellStyle name="Pound 24" xfId="6732"/>
    <cellStyle name="Pound 25" xfId="6733"/>
    <cellStyle name="Pound 26" xfId="6734"/>
    <cellStyle name="Pound 27" xfId="6735"/>
    <cellStyle name="Pound 28" xfId="6736"/>
    <cellStyle name="Pound 29" xfId="6737"/>
    <cellStyle name="Pound 3" xfId="6738"/>
    <cellStyle name="Pound 3 2" xfId="6739"/>
    <cellStyle name="Pound 30" xfId="6740"/>
    <cellStyle name="Pound 31" xfId="6741"/>
    <cellStyle name="Pound 32" xfId="6742"/>
    <cellStyle name="Pound 33" xfId="6743"/>
    <cellStyle name="Pound 34" xfId="6744"/>
    <cellStyle name="Pound 35" xfId="6745"/>
    <cellStyle name="Pound 36" xfId="6746"/>
    <cellStyle name="Pound 37" xfId="6747"/>
    <cellStyle name="Pound 38" xfId="6748"/>
    <cellStyle name="Pound 39" xfId="6749"/>
    <cellStyle name="Pound 4" xfId="6750"/>
    <cellStyle name="Pound 4 2" xfId="6751"/>
    <cellStyle name="Pound 40" xfId="6752"/>
    <cellStyle name="Pound 41" xfId="6753"/>
    <cellStyle name="Pound 42" xfId="6754"/>
    <cellStyle name="Pound 43" xfId="6755"/>
    <cellStyle name="Pound 5" xfId="6756"/>
    <cellStyle name="Pound 5 2" xfId="6757"/>
    <cellStyle name="Pound 6" xfId="6758"/>
    <cellStyle name="Pound 6 2" xfId="6759"/>
    <cellStyle name="Pound 7" xfId="6760"/>
    <cellStyle name="Pound 7 2" xfId="6761"/>
    <cellStyle name="Pound 8" xfId="6762"/>
    <cellStyle name="Pound 8 2" xfId="6763"/>
    <cellStyle name="Pound 9" xfId="6764"/>
    <cellStyle name="Pound 9 2" xfId="6765"/>
    <cellStyle name="Pourcentage_pldt" xfId="680"/>
    <cellStyle name="PrePo? Currency (0)_110329 PQ Challenge Linked to Sharepoint" xfId="6766"/>
    <cellStyle name="PrePop Currency (0)" xfId="3619"/>
    <cellStyle name="PrePop Currency (0) 2" xfId="6767"/>
    <cellStyle name="PrePop Currency (2)" xfId="3620"/>
    <cellStyle name="PrePop Currency (2) 2" xfId="6768"/>
    <cellStyle name="PrePop Units (0)" xfId="3621"/>
    <cellStyle name="PrePop Units (0) 2" xfId="6769"/>
    <cellStyle name="PrePop Units (1)" xfId="3622"/>
    <cellStyle name="PrePop Units (1) 2" xfId="6770"/>
    <cellStyle name="PrePop Units (2)" xfId="3623"/>
    <cellStyle name="PrePop Units (2) 2" xfId="6771"/>
    <cellStyle name="PrePoŰ Currency (0)_110329 PQ Challenge Linked to Sharepoint" xfId="6772"/>
    <cellStyle name="PriceChange" xfId="681"/>
    <cellStyle name="Procent" xfId="2" builtinId="5"/>
    <cellStyle name="Procent 2" xfId="682"/>
    <cellStyle name="Procent 2 2" xfId="683"/>
    <cellStyle name="Procent 2 2 2" xfId="6773"/>
    <cellStyle name="Procent 2 3" xfId="3624"/>
    <cellStyle name="Procent 2 4" xfId="3625"/>
    <cellStyle name="Procent 3" xfId="684"/>
    <cellStyle name="Procent 3 2" xfId="6775"/>
    <cellStyle name="Procent 3 3" xfId="6774"/>
    <cellStyle name="Procent 4" xfId="685"/>
    <cellStyle name="Procent 5" xfId="3626"/>
    <cellStyle name="Procent 5 2" xfId="6776"/>
    <cellStyle name="Procent 6" xfId="3627"/>
    <cellStyle name="Procent 6 2" xfId="6777"/>
    <cellStyle name="Procent 7" xfId="6778"/>
    <cellStyle name="PropGenCurrencyFormat" xfId="686"/>
    <cellStyle name="PropGenCurrencyFormat 2" xfId="687"/>
    <cellStyle name="PropGenCurrencyFormat 3" xfId="3628"/>
    <cellStyle name="Protect (Hidden)" xfId="3629"/>
    <cellStyle name="Protect (Hidden) 2" xfId="3630"/>
    <cellStyle name="Protect (Locked)" xfId="3631"/>
    <cellStyle name="Protect (Locked) 2" xfId="3632"/>
    <cellStyle name="Protect (Locked; Hidden)" xfId="3633"/>
    <cellStyle name="Protect (Locked; Hidden) 2" xfId="3634"/>
    <cellStyle name="Protect (none)" xfId="3635"/>
    <cellStyle name="Protect (none) 2" xfId="3636"/>
    <cellStyle name="Prozent 0" xfId="3637"/>
    <cellStyle name="Prozent 0 2" xfId="6779"/>
    <cellStyle name="Prozent(o)" xfId="3638"/>
    <cellStyle name="Prozent_2001" xfId="3639"/>
    <cellStyle name="PSChar" xfId="3640"/>
    <cellStyle name="PSDate" xfId="3641"/>
    <cellStyle name="PSDec" xfId="3642"/>
    <cellStyle name="PSHeading" xfId="3643"/>
    <cellStyle name="PSHeading 2" xfId="6781"/>
    <cellStyle name="PSHeading 2 2" xfId="6782"/>
    <cellStyle name="PSHeading 3" xfId="6783"/>
    <cellStyle name="PSHeading 3 2" xfId="6784"/>
    <cellStyle name="PSHeading 4" xfId="6785"/>
    <cellStyle name="PSHeading 5" xfId="6786"/>
    <cellStyle name="PSHeading 6" xfId="6780"/>
    <cellStyle name="PSInt" xfId="3644"/>
    <cellStyle name="PSSpacer" xfId="3645"/>
    <cellStyle name="ptit" xfId="6787"/>
    <cellStyle name="ptit 2" xfId="6788"/>
    <cellStyle name="ptit 2 2" xfId="6789"/>
    <cellStyle name="ptit 3" xfId="6790"/>
    <cellStyle name="ptit 3 2" xfId="6791"/>
    <cellStyle name="ptit 4" xfId="6792"/>
    <cellStyle name="ptit 5" xfId="6793"/>
    <cellStyle name="Rack_kit" xfId="688"/>
    <cellStyle name="rat" xfId="6794"/>
    <cellStyle name="rate" xfId="6795"/>
    <cellStyle name="rate 2" xfId="6796"/>
    <cellStyle name="rate 2 2" xfId="6797"/>
    <cellStyle name="rate 3" xfId="6798"/>
    <cellStyle name="rate 3 2" xfId="6799"/>
    <cellStyle name="rate 4" xfId="6800"/>
    <cellStyle name="rate 5" xfId="6801"/>
    <cellStyle name="Ratio" xfId="3646"/>
    <cellStyle name="Ratio 2" xfId="3647"/>
    <cellStyle name="Ratio 2 2" xfId="6803"/>
    <cellStyle name="Ratio 3" xfId="6802"/>
    <cellStyle name="Ref Numbers" xfId="3648"/>
    <cellStyle name="regstoresfromspecstores" xfId="689"/>
    <cellStyle name="Released" xfId="690"/>
    <cellStyle name="Released-Short" xfId="691"/>
    <cellStyle name="ReportTitlePrompt" xfId="692"/>
    <cellStyle name="ReportTitlePrompt 2" xfId="6805"/>
    <cellStyle name="ReportTitlePrompt 2 2" xfId="6806"/>
    <cellStyle name="ReportTitlePrompt 3" xfId="6807"/>
    <cellStyle name="ReportTitlePrompt 3 2" xfId="6808"/>
    <cellStyle name="ReportTitlePrompt 4" xfId="6809"/>
    <cellStyle name="ReportTitlePrompt 5" xfId="6810"/>
    <cellStyle name="ReportTitlePrompt 6" xfId="6804"/>
    <cellStyle name="ReportTitleValue" xfId="693"/>
    <cellStyle name="ReportTitleValue 2" xfId="6812"/>
    <cellStyle name="ReportTitleValue 2 2" xfId="6813"/>
    <cellStyle name="ReportTitleValue 3" xfId="6814"/>
    <cellStyle name="ReportTitleValue 3 2" xfId="6815"/>
    <cellStyle name="ReportTitleValue 4" xfId="6816"/>
    <cellStyle name="ReportTitleValue 5" xfId="6817"/>
    <cellStyle name="ReportTitleValue 6" xfId="6811"/>
    <cellStyle name="RevList" xfId="694"/>
    <cellStyle name="RevList 2" xfId="6818"/>
    <cellStyle name="Risico" xfId="3649"/>
    <cellStyle name="row number" xfId="3650"/>
    <cellStyle name="Row Title" xfId="3651"/>
    <cellStyle name="Row Title 2" xfId="3652"/>
    <cellStyle name="RowAcctAbovePrompt" xfId="695"/>
    <cellStyle name="RowAcctSOBAbovePrompt" xfId="696"/>
    <cellStyle name="RowAcctSOBValue" xfId="697"/>
    <cellStyle name="RowAcctSOBValue 2" xfId="6820"/>
    <cellStyle name="RowAcctSOBValue 2 2" xfId="6821"/>
    <cellStyle name="RowAcctSOBValue 3" xfId="6822"/>
    <cellStyle name="RowAcctSOBValue 3 2" xfId="6823"/>
    <cellStyle name="RowAcctSOBValue 4" xfId="6824"/>
    <cellStyle name="RowAcctSOBValue 5" xfId="6825"/>
    <cellStyle name="RowAcctSOBValue 6" xfId="6819"/>
    <cellStyle name="RowAcctValue" xfId="698"/>
    <cellStyle name="RowAcctValue 2" xfId="6827"/>
    <cellStyle name="RowAcctValue 2 2" xfId="6828"/>
    <cellStyle name="RowAcctValue 3" xfId="6829"/>
    <cellStyle name="RowAcctValue 3 2" xfId="6830"/>
    <cellStyle name="RowAcctValue 4" xfId="6831"/>
    <cellStyle name="RowAcctValue 5" xfId="6832"/>
    <cellStyle name="RowAcctValue 6" xfId="6826"/>
    <cellStyle name="RowAttrAbovePrompt" xfId="699"/>
    <cellStyle name="RowAttrValue" xfId="700"/>
    <cellStyle name="RowAttrValue 2" xfId="6834"/>
    <cellStyle name="RowAttrValue 2 2" xfId="6835"/>
    <cellStyle name="RowAttrValue 3" xfId="6836"/>
    <cellStyle name="RowAttrValue 3 2" xfId="6837"/>
    <cellStyle name="RowAttrValue 4" xfId="6838"/>
    <cellStyle name="RowAttrValue 5" xfId="6839"/>
    <cellStyle name="RowAttrValue 6" xfId="6833"/>
    <cellStyle name="RowColSetAbovePrompt" xfId="701"/>
    <cellStyle name="RowColSetLeftPrompt" xfId="702"/>
    <cellStyle name="RowColSetValue" xfId="703"/>
    <cellStyle name="RowColSetValue 2" xfId="6841"/>
    <cellStyle name="RowColSetValue 2 2" xfId="6842"/>
    <cellStyle name="RowColSetValue 3" xfId="6843"/>
    <cellStyle name="RowColSetValue 3 2" xfId="6844"/>
    <cellStyle name="RowColSetValue 4" xfId="6845"/>
    <cellStyle name="RowColSetValue 5" xfId="6846"/>
    <cellStyle name="RowColSetValue 6" xfId="6840"/>
    <cellStyle name="RowLeftPrompt" xfId="704"/>
    <cellStyle name="s" xfId="6847"/>
    <cellStyle name="s 2" xfId="6848"/>
    <cellStyle name="s 2 2" xfId="6849"/>
    <cellStyle name="s 3" xfId="6850"/>
    <cellStyle name="s 3 2" xfId="6851"/>
    <cellStyle name="s 4" xfId="6852"/>
    <cellStyle name="s 5" xfId="6853"/>
    <cellStyle name="s]_x000d__x000a_load=C:\MS\SMS\BIN\smsrun16.exe_x000d__x000a_;C:\WINDOWS\SYSTEM\MGACTRL.EXE_x000d__x000a_;C:\TC\BIN\TCSPOOL.EXE_x000d__x000a_run=_x000d__x000a_NullPort=None_x000d__x000a_Defau_DEC REV DETAIL (ACE) (2)" xfId="705"/>
    <cellStyle name="s_101018 BP Check OLS" xfId="6854"/>
    <cellStyle name="s_Assumptions" xfId="6855"/>
    <cellStyle name="s_Assumptions 2" xfId="6856"/>
    <cellStyle name="s_Assumptions 2 2" xfId="6857"/>
    <cellStyle name="s_Assumptions 3" xfId="6858"/>
    <cellStyle name="s_Assumptions 3 2" xfId="6859"/>
    <cellStyle name="s_Assumptions 4" xfId="6860"/>
    <cellStyle name="s_Assumptions 5" xfId="6861"/>
    <cellStyle name="s_Assumptions_101018 BP Check OLS" xfId="6862"/>
    <cellStyle name="s_Assumptions_NewRef10" xfId="6863"/>
    <cellStyle name="s_B_S_Ratios _B" xfId="6864"/>
    <cellStyle name="s_B_S_Ratios _B 2" xfId="6865"/>
    <cellStyle name="s_B_S_Ratios _B 2 2" xfId="6866"/>
    <cellStyle name="s_B_S_Ratios _B 3" xfId="6867"/>
    <cellStyle name="s_B_S_Ratios _B 3 2" xfId="6868"/>
    <cellStyle name="s_B_S_Ratios _B 4" xfId="6869"/>
    <cellStyle name="s_B_S_Ratios _B 5" xfId="6870"/>
    <cellStyle name="s_B_S_Ratios _B_101018 BP Check OLS" xfId="6871"/>
    <cellStyle name="s_B_S_Ratios _B_NewRef10" xfId="6872"/>
    <cellStyle name="s_B_S_Ratios_T" xfId="6873"/>
    <cellStyle name="s_B_S_Ratios_T 2" xfId="6874"/>
    <cellStyle name="s_B_S_Ratios_T 2 2" xfId="6875"/>
    <cellStyle name="s_B_S_Ratios_T 3" xfId="6876"/>
    <cellStyle name="s_B_S_Ratios_T 3 2" xfId="6877"/>
    <cellStyle name="s_B_S_Ratios_T 4" xfId="6878"/>
    <cellStyle name="s_B_S_Ratios_T 5" xfId="6879"/>
    <cellStyle name="s_B_S_Ratios_T_101018 BP Check OLS" xfId="6880"/>
    <cellStyle name="s_B_S_Ratios_T_NewRef10" xfId="6881"/>
    <cellStyle name="s_DCFLBO Code" xfId="6882"/>
    <cellStyle name="s_DCFLBO Code 2" xfId="6883"/>
    <cellStyle name="s_DCFLBO Code 2 2" xfId="6884"/>
    <cellStyle name="s_DCFLBO Code 3" xfId="6885"/>
    <cellStyle name="s_DCFLBO Code 3 2" xfId="6886"/>
    <cellStyle name="s_DCFLBO Code 4" xfId="6887"/>
    <cellStyle name="s_DCFLBO Code 5" xfId="6888"/>
    <cellStyle name="s_DCFLBO Code_1" xfId="6889"/>
    <cellStyle name="s_DCFLBO Code_1 2" xfId="6890"/>
    <cellStyle name="s_DCFLBO Code_1 2 2" xfId="6891"/>
    <cellStyle name="s_DCFLBO Code_1 3" xfId="6892"/>
    <cellStyle name="s_DCFLBO Code_1 3 2" xfId="6893"/>
    <cellStyle name="s_DCFLBO Code_1 4" xfId="6894"/>
    <cellStyle name="s_DCFLBO Code_1 5" xfId="6895"/>
    <cellStyle name="s_DCFLBO Code_1_101018 BP Check OLS" xfId="6896"/>
    <cellStyle name="s_DCFLBO Code_1_NewRef10" xfId="6897"/>
    <cellStyle name="s_DCFLBO Code_101018 BP Check OLS" xfId="6898"/>
    <cellStyle name="s_DCFLBO Code_NewRef10" xfId="6899"/>
    <cellStyle name="s_Dilution" xfId="6900"/>
    <cellStyle name="s_Dilution 2" xfId="6901"/>
    <cellStyle name="s_Dilution 2 2" xfId="6902"/>
    <cellStyle name="s_Dilution 3" xfId="6903"/>
    <cellStyle name="s_Dilution 3 2" xfId="6904"/>
    <cellStyle name="s_Dilution 4" xfId="6905"/>
    <cellStyle name="s_Dilution 5" xfId="6906"/>
    <cellStyle name="s_Dilution_101018 BP Check OLS" xfId="6907"/>
    <cellStyle name="s_Dilution_NewRef10" xfId="6908"/>
    <cellStyle name="s_Financials_B" xfId="6909"/>
    <cellStyle name="s_Financials_B 2" xfId="6910"/>
    <cellStyle name="s_Financials_B 2 2" xfId="6911"/>
    <cellStyle name="s_Financials_B 3" xfId="6912"/>
    <cellStyle name="s_Financials_B 3 2" xfId="6913"/>
    <cellStyle name="s_Financials_B 4" xfId="6914"/>
    <cellStyle name="s_Financials_B 5" xfId="6915"/>
    <cellStyle name="s_Financials_B_101018 BP Check OLS" xfId="6916"/>
    <cellStyle name="s_Financials_B_NewRef10" xfId="6917"/>
    <cellStyle name="s_Financials_T" xfId="6918"/>
    <cellStyle name="s_Financials_T 2" xfId="6919"/>
    <cellStyle name="s_Financials_T 2 2" xfId="6920"/>
    <cellStyle name="s_Financials_T 3" xfId="6921"/>
    <cellStyle name="s_Financials_T 3 2" xfId="6922"/>
    <cellStyle name="s_Financials_T 4" xfId="6923"/>
    <cellStyle name="s_Financials_T 5" xfId="6924"/>
    <cellStyle name="s_Financials_T_101018 BP Check OLS" xfId="6925"/>
    <cellStyle name="s_Financials_T_NewRef10" xfId="6926"/>
    <cellStyle name="s_Grouse+Pelican" xfId="6927"/>
    <cellStyle name="s_Matrix_B" xfId="6928"/>
    <cellStyle name="s_Matrix_B 2" xfId="6929"/>
    <cellStyle name="s_Matrix_B 2 2" xfId="6930"/>
    <cellStyle name="s_Matrix_B 3" xfId="6931"/>
    <cellStyle name="s_Matrix_B 3 2" xfId="6932"/>
    <cellStyle name="s_Matrix_B 4" xfId="6933"/>
    <cellStyle name="s_Matrix_B 5" xfId="6934"/>
    <cellStyle name="s_Matrix_B_101018 BP Check OLS" xfId="6935"/>
    <cellStyle name="s_Matrix_B_NewRef10" xfId="6936"/>
    <cellStyle name="s_Matrix_T" xfId="6937"/>
    <cellStyle name="s_Matrix_T 2" xfId="6938"/>
    <cellStyle name="s_Matrix_T 2 2" xfId="6939"/>
    <cellStyle name="s_Matrix_T 3" xfId="6940"/>
    <cellStyle name="s_Matrix_T 3 2" xfId="6941"/>
    <cellStyle name="s_Matrix_T 4" xfId="6942"/>
    <cellStyle name="s_Matrix_T 5" xfId="6943"/>
    <cellStyle name="s_Matrix_T_101018 BP Check OLS" xfId="6944"/>
    <cellStyle name="s_Matrix_T_NewRef10" xfId="6945"/>
    <cellStyle name="s_Merger" xfId="6946"/>
    <cellStyle name="s_Merger 2" xfId="6947"/>
    <cellStyle name="s_Merger 2 2" xfId="6948"/>
    <cellStyle name="s_Merger 3" xfId="6949"/>
    <cellStyle name="s_Merger 3 2" xfId="6950"/>
    <cellStyle name="s_Merger 4" xfId="6951"/>
    <cellStyle name="s_Merger 5" xfId="6952"/>
    <cellStyle name="s_Merger_101018 BP Check OLS" xfId="6953"/>
    <cellStyle name="s_Merger_NewRef10" xfId="6954"/>
    <cellStyle name="s_model2" xfId="6955"/>
    <cellStyle name="s_model2 2" xfId="6956"/>
    <cellStyle name="s_model2 2 2" xfId="6957"/>
    <cellStyle name="s_model2 3" xfId="6958"/>
    <cellStyle name="s_model2 3 2" xfId="6959"/>
    <cellStyle name="s_model2 4" xfId="6960"/>
    <cellStyle name="s_model2 5" xfId="6961"/>
    <cellStyle name="s_model2_101018 BP Check OLS" xfId="6962"/>
    <cellStyle name="s_model2_NewRef10" xfId="6963"/>
    <cellStyle name="s_NewRef10" xfId="6964"/>
    <cellStyle name="s_P_L_Ratios" xfId="6965"/>
    <cellStyle name="s_P_L_Ratios 2" xfId="6966"/>
    <cellStyle name="s_P_L_Ratios 2 2" xfId="6967"/>
    <cellStyle name="s_P_L_Ratios 3" xfId="6968"/>
    <cellStyle name="s_P_L_Ratios 3 2" xfId="6969"/>
    <cellStyle name="s_P_L_Ratios 4" xfId="6970"/>
    <cellStyle name="s_P_L_Ratios 5" xfId="6971"/>
    <cellStyle name="s_P_L_Ratios_101018 BP Check OLS" xfId="6972"/>
    <cellStyle name="s_P_L_Ratios_B" xfId="6973"/>
    <cellStyle name="s_P_L_Ratios_B 2" xfId="6974"/>
    <cellStyle name="s_P_L_Ratios_B 2 2" xfId="6975"/>
    <cellStyle name="s_P_L_Ratios_B 3" xfId="6976"/>
    <cellStyle name="s_P_L_Ratios_B 3 2" xfId="6977"/>
    <cellStyle name="s_P_L_Ratios_B 4" xfId="6978"/>
    <cellStyle name="s_P_L_Ratios_B 5" xfId="6979"/>
    <cellStyle name="s_P_L_Ratios_B_101018 BP Check OLS" xfId="6980"/>
    <cellStyle name="s_P_L_Ratios_B_NewRef10" xfId="6981"/>
    <cellStyle name="s_P_L_Ratios_NewRef10" xfId="6982"/>
    <cellStyle name="s_S_By_S" xfId="6983"/>
    <cellStyle name="s_S_By_S 2" xfId="6984"/>
    <cellStyle name="s_S_By_S 2 2" xfId="6985"/>
    <cellStyle name="s_S_By_S 3" xfId="6986"/>
    <cellStyle name="s_S_By_S 3 2" xfId="6987"/>
    <cellStyle name="s_S_By_S 4" xfId="6988"/>
    <cellStyle name="s_S_By_S 5" xfId="6989"/>
    <cellStyle name="s_S_By_S_101018 BP Check OLS" xfId="6990"/>
    <cellStyle name="s_S_By_S_NewRef10" xfId="6991"/>
    <cellStyle name="s_Sheet5" xfId="6992"/>
    <cellStyle name="s_Sheet5 2" xfId="6993"/>
    <cellStyle name="s_Sheet5 2 2" xfId="6994"/>
    <cellStyle name="s_Sheet5 3" xfId="6995"/>
    <cellStyle name="s_Sheet5 3 2" xfId="6996"/>
    <cellStyle name="s_Sheet5 4" xfId="6997"/>
    <cellStyle name="s_Sheet5 5" xfId="6998"/>
    <cellStyle name="s_Sheet5_101018 BP Check OLS" xfId="6999"/>
    <cellStyle name="s_Sheet5_NewRef10" xfId="7000"/>
    <cellStyle name="s_Valuation " xfId="7001"/>
    <cellStyle name="s_Valuation  2" xfId="7002"/>
    <cellStyle name="s_Valuation  2 2" xfId="7003"/>
    <cellStyle name="s_Valuation  3" xfId="7004"/>
    <cellStyle name="s_Valuation  3 2" xfId="7005"/>
    <cellStyle name="s_Valuation  4" xfId="7006"/>
    <cellStyle name="s_Valuation  5" xfId="7007"/>
    <cellStyle name="s_Valuation _101018 BP Check OLS" xfId="7008"/>
    <cellStyle name="s_Valuation _NewRef10" xfId="7009"/>
    <cellStyle name="SampleUsingFormatMask" xfId="706"/>
    <cellStyle name="SampleUsingFormatMask 2" xfId="7011"/>
    <cellStyle name="SampleUsingFormatMask 2 2" xfId="7012"/>
    <cellStyle name="SampleUsingFormatMask 3" xfId="7013"/>
    <cellStyle name="SampleUsingFormatMask 3 2" xfId="7014"/>
    <cellStyle name="SampleUsingFormatMask 4" xfId="7015"/>
    <cellStyle name="SampleUsingFormatMask 5" xfId="7016"/>
    <cellStyle name="SampleUsingFormatMask 6" xfId="7010"/>
    <cellStyle name="SampleWithNoFormatMask" xfId="707"/>
    <cellStyle name="SampleWithNoFormatMask 2" xfId="7018"/>
    <cellStyle name="SampleWithNoFormatMask 2 2" xfId="7019"/>
    <cellStyle name="SampleWithNoFormatMask 3" xfId="7020"/>
    <cellStyle name="SampleWithNoFormatMask 3 2" xfId="7021"/>
    <cellStyle name="SampleWithNoFormatMask 4" xfId="7022"/>
    <cellStyle name="SampleWithNoFormatMask 5" xfId="7023"/>
    <cellStyle name="SampleWithNoFormatMask 6" xfId="7017"/>
    <cellStyle name="SAPBEXaggData" xfId="3653"/>
    <cellStyle name="SAPBEXaggData 2" xfId="3654"/>
    <cellStyle name="SAPBEXaggData 3" xfId="7024"/>
    <cellStyle name="SAPBEXaggData_2012 PL" xfId="3655"/>
    <cellStyle name="SAPBEXaggDataEmph" xfId="3656"/>
    <cellStyle name="SAPBEXaggDataEmph 2" xfId="3657"/>
    <cellStyle name="SAPBEXaggDataEmph 3" xfId="7025"/>
    <cellStyle name="SAPBEXaggDataEmph_2012 PL" xfId="3658"/>
    <cellStyle name="SAPBEXaggItem" xfId="3659"/>
    <cellStyle name="SAPBEXaggItem 2" xfId="3660"/>
    <cellStyle name="SAPBEXaggItem 3" xfId="7026"/>
    <cellStyle name="SAPBEXaggItem_2012 PL" xfId="3661"/>
    <cellStyle name="SAPBEXaggItemX" xfId="3662"/>
    <cellStyle name="SAPBEXaggItemX 2" xfId="3663"/>
    <cellStyle name="SAPBEXaggItemX 3" xfId="7027"/>
    <cellStyle name="SAPBEXaggItemX_2012 PL" xfId="3664"/>
    <cellStyle name="SAPBEXchaText" xfId="3665"/>
    <cellStyle name="SAPBEXchaText 2" xfId="3666"/>
    <cellStyle name="SAPBEXchaText 2 2" xfId="7030"/>
    <cellStyle name="SAPBEXchaText 2 3" xfId="7029"/>
    <cellStyle name="SAPBEXchaText 3" xfId="3667"/>
    <cellStyle name="SAPBEXchaText 3 2" xfId="7032"/>
    <cellStyle name="SAPBEXchaText 3 3" xfId="7031"/>
    <cellStyle name="SAPBEXchaText 4" xfId="7033"/>
    <cellStyle name="SAPBEXchaText 5" xfId="7034"/>
    <cellStyle name="SAPBEXchaText 6" xfId="7028"/>
    <cellStyle name="SAPBEXchaText_2012 PL" xfId="3668"/>
    <cellStyle name="SAPBEXexcBad7" xfId="3669"/>
    <cellStyle name="SAPBEXexcBad7 2" xfId="3670"/>
    <cellStyle name="SAPBEXexcBad7 3" xfId="7035"/>
    <cellStyle name="SAPBEXexcBad7_2012 PL" xfId="3671"/>
    <cellStyle name="SAPBEXexcBad8" xfId="3672"/>
    <cellStyle name="SAPBEXexcBad8 2" xfId="3673"/>
    <cellStyle name="SAPBEXexcBad8 3" xfId="7036"/>
    <cellStyle name="SAPBEXexcBad8_2012 PL" xfId="3674"/>
    <cellStyle name="SAPBEXexcBad9" xfId="3675"/>
    <cellStyle name="SAPBEXexcBad9 2" xfId="3676"/>
    <cellStyle name="SAPBEXexcBad9 3" xfId="7037"/>
    <cellStyle name="SAPBEXexcBad9_2012 PL" xfId="3677"/>
    <cellStyle name="SAPBEXexcCritical4" xfId="3678"/>
    <cellStyle name="SAPBEXexcCritical4 2" xfId="3679"/>
    <cellStyle name="SAPBEXexcCritical4 3" xfId="7038"/>
    <cellStyle name="SAPBEXexcCritical4_2012 PL" xfId="3680"/>
    <cellStyle name="SAPBEXexcCritical5" xfId="3681"/>
    <cellStyle name="SAPBEXexcCritical5 2" xfId="3682"/>
    <cellStyle name="SAPBEXexcCritical5 3" xfId="7039"/>
    <cellStyle name="SAPBEXexcCritical5_2012 PL" xfId="3683"/>
    <cellStyle name="SAPBEXexcCritical6" xfId="3684"/>
    <cellStyle name="SAPBEXexcCritical6 2" xfId="3685"/>
    <cellStyle name="SAPBEXexcCritical6 3" xfId="7040"/>
    <cellStyle name="SAPBEXexcCritical6_2012 PL" xfId="3686"/>
    <cellStyle name="SAPBEXexcGood1" xfId="3687"/>
    <cellStyle name="SAPBEXexcGood1 2" xfId="3688"/>
    <cellStyle name="SAPBEXexcGood1 3" xfId="7041"/>
    <cellStyle name="SAPBEXexcGood1_2012 PL" xfId="3689"/>
    <cellStyle name="SAPBEXexcGood2" xfId="3690"/>
    <cellStyle name="SAPBEXexcGood2 2" xfId="3691"/>
    <cellStyle name="SAPBEXexcGood2 3" xfId="7042"/>
    <cellStyle name="SAPBEXexcGood2_2012 PL" xfId="3692"/>
    <cellStyle name="SAPBEXexcGood3" xfId="3693"/>
    <cellStyle name="SAPBEXexcGood3 2" xfId="3694"/>
    <cellStyle name="SAPBEXexcGood3 3" xfId="7043"/>
    <cellStyle name="SAPBEXexcGood3_2012 PL" xfId="3695"/>
    <cellStyle name="SAPBEXfilterDrill" xfId="3696"/>
    <cellStyle name="SAPBEXfilterDrill 2" xfId="3697"/>
    <cellStyle name="SAPBEXfilterDrill 3" xfId="7044"/>
    <cellStyle name="SAPBEXfilterDrill_2012 PL" xfId="3698"/>
    <cellStyle name="SAPBEXfilterItem" xfId="3699"/>
    <cellStyle name="SAPBEXfilterItem 2" xfId="3700"/>
    <cellStyle name="SAPBEXfilterItem 3" xfId="7045"/>
    <cellStyle name="SAPBEXfilterItem_2012 PL" xfId="3701"/>
    <cellStyle name="SAPBEXfilterText" xfId="3702"/>
    <cellStyle name="SAPBEXfilterText 2" xfId="3703"/>
    <cellStyle name="SAPBEXfilterText_2012 PL" xfId="3704"/>
    <cellStyle name="SAPBEXformats" xfId="3705"/>
    <cellStyle name="SAPBEXformats 2" xfId="3706"/>
    <cellStyle name="SAPBEXformats 2 2" xfId="7048"/>
    <cellStyle name="SAPBEXformats 2 3" xfId="7047"/>
    <cellStyle name="SAPBEXformats 3" xfId="7049"/>
    <cellStyle name="SAPBEXformats 3 2" xfId="7050"/>
    <cellStyle name="SAPBEXformats 4" xfId="7051"/>
    <cellStyle name="SAPBEXformats 5" xfId="7052"/>
    <cellStyle name="SAPBEXformats 6" xfId="7046"/>
    <cellStyle name="SAPBEXformats_2012 PL" xfId="3707"/>
    <cellStyle name="SAPBEXheaderItem" xfId="3708"/>
    <cellStyle name="SAPBEXheaderItem 2" xfId="3709"/>
    <cellStyle name="SAPBEXheaderItem 3" xfId="7053"/>
    <cellStyle name="SAPBEXheaderItem_2012 PL" xfId="3710"/>
    <cellStyle name="SAPBEXheaderText" xfId="3711"/>
    <cellStyle name="SAPBEXheaderText 2" xfId="3712"/>
    <cellStyle name="SAPBEXheaderText 3" xfId="7054"/>
    <cellStyle name="SAPBEXheaderText_2012 PL" xfId="3713"/>
    <cellStyle name="SAPBEXHLevel0" xfId="3714"/>
    <cellStyle name="SAPBEXHLevel0 2" xfId="3715"/>
    <cellStyle name="SAPBEXHLevel0 2 2" xfId="7057"/>
    <cellStyle name="SAPBEXHLevel0 2 3" xfId="7056"/>
    <cellStyle name="SAPBEXHLevel0 3" xfId="7058"/>
    <cellStyle name="SAPBEXHLevel0 3 2" xfId="7059"/>
    <cellStyle name="SAPBEXHLevel0 4" xfId="7060"/>
    <cellStyle name="SAPBEXHLevel0 5" xfId="7061"/>
    <cellStyle name="SAPBEXHLevel0 6" xfId="7055"/>
    <cellStyle name="SAPBEXHLevel0_2012 PL" xfId="3716"/>
    <cellStyle name="SAPBEXHLevel0X" xfId="3717"/>
    <cellStyle name="SAPBEXHLevel0X 2" xfId="3718"/>
    <cellStyle name="SAPBEXHLevel0X 2 2" xfId="7064"/>
    <cellStyle name="SAPBEXHLevel0X 2 3" xfId="7063"/>
    <cellStyle name="SAPBEXHLevel0X 3" xfId="7065"/>
    <cellStyle name="SAPBEXHLevel0X 3 2" xfId="7066"/>
    <cellStyle name="SAPBEXHLevel0X 4" xfId="7067"/>
    <cellStyle name="SAPBEXHLevel0X 5" xfId="7068"/>
    <cellStyle name="SAPBEXHLevel0X 6" xfId="7062"/>
    <cellStyle name="SAPBEXHLevel0X_2012 PL" xfId="3719"/>
    <cellStyle name="SAPBEXHLevel1" xfId="3720"/>
    <cellStyle name="SAPBEXHLevel1 2" xfId="3721"/>
    <cellStyle name="SAPBEXHLevel1 2 2" xfId="7071"/>
    <cellStyle name="SAPBEXHLevel1 2 3" xfId="7070"/>
    <cellStyle name="SAPBEXHLevel1 3" xfId="7072"/>
    <cellStyle name="SAPBEXHLevel1 3 2" xfId="7073"/>
    <cellStyle name="SAPBEXHLevel1 4" xfId="7074"/>
    <cellStyle name="SAPBEXHLevel1 5" xfId="7075"/>
    <cellStyle name="SAPBEXHLevel1 6" xfId="7069"/>
    <cellStyle name="SAPBEXHLevel1_2012 PL" xfId="3722"/>
    <cellStyle name="SAPBEXHLevel1X" xfId="3723"/>
    <cellStyle name="SAPBEXHLevel1X 2" xfId="3724"/>
    <cellStyle name="SAPBEXHLevel1X 2 2" xfId="7078"/>
    <cellStyle name="SAPBEXHLevel1X 2 3" xfId="7077"/>
    <cellStyle name="SAPBEXHLevel1X 3" xfId="7079"/>
    <cellStyle name="SAPBEXHLevel1X 3 2" xfId="7080"/>
    <cellStyle name="SAPBEXHLevel1X 4" xfId="7081"/>
    <cellStyle name="SAPBEXHLevel1X 5" xfId="7082"/>
    <cellStyle name="SAPBEXHLevel1X 6" xfId="7076"/>
    <cellStyle name="SAPBEXHLevel1X_2012 PL" xfId="3725"/>
    <cellStyle name="SAPBEXHLevel2" xfId="3726"/>
    <cellStyle name="SAPBEXHLevel2 2" xfId="3727"/>
    <cellStyle name="SAPBEXHLevel2 2 2" xfId="7085"/>
    <cellStyle name="SAPBEXHLevel2 2 3" xfId="7084"/>
    <cellStyle name="SAPBEXHLevel2 3" xfId="7086"/>
    <cellStyle name="SAPBEXHLevel2 3 2" xfId="7087"/>
    <cellStyle name="SAPBEXHLevel2 4" xfId="7088"/>
    <cellStyle name="SAPBEXHLevel2 5" xfId="7089"/>
    <cellStyle name="SAPBEXHLevel2 6" xfId="7083"/>
    <cellStyle name="SAPBEXHLevel2_2012 PL" xfId="3728"/>
    <cellStyle name="SAPBEXHLevel2X" xfId="3729"/>
    <cellStyle name="SAPBEXHLevel2X 2" xfId="3730"/>
    <cellStyle name="SAPBEXHLevel2X 2 2" xfId="7092"/>
    <cellStyle name="SAPBEXHLevel2X 2 3" xfId="7091"/>
    <cellStyle name="SAPBEXHLevel2X 3" xfId="7093"/>
    <cellStyle name="SAPBEXHLevel2X 3 2" xfId="7094"/>
    <cellStyle name="SAPBEXHLevel2X 4" xfId="7095"/>
    <cellStyle name="SAPBEXHLevel2X 5" xfId="7096"/>
    <cellStyle name="SAPBEXHLevel2X 6" xfId="7090"/>
    <cellStyle name="SAPBEXHLevel2X_2012 PL" xfId="3731"/>
    <cellStyle name="SAPBEXHLevel3" xfId="3732"/>
    <cellStyle name="SAPBEXHLevel3 2" xfId="3733"/>
    <cellStyle name="SAPBEXHLevel3 2 2" xfId="7099"/>
    <cellStyle name="SAPBEXHLevel3 2 3" xfId="7098"/>
    <cellStyle name="SAPBEXHLevel3 3" xfId="3734"/>
    <cellStyle name="SAPBEXHLevel3 3 2" xfId="7101"/>
    <cellStyle name="SAPBEXHLevel3 3 3" xfId="7100"/>
    <cellStyle name="SAPBEXHLevel3 4" xfId="3735"/>
    <cellStyle name="SAPBEXHLevel3 4 2" xfId="7102"/>
    <cellStyle name="SAPBEXHLevel3 5" xfId="3736"/>
    <cellStyle name="SAPBEXHLevel3 5 2" xfId="7103"/>
    <cellStyle name="SAPBEXHLevel3 6" xfId="7097"/>
    <cellStyle name="SAPBEXHLevel3_2012 PL" xfId="3737"/>
    <cellStyle name="SAPBEXHLevel3X" xfId="3738"/>
    <cellStyle name="SAPBEXHLevel3X 2" xfId="3739"/>
    <cellStyle name="SAPBEXHLevel3X 2 2" xfId="7106"/>
    <cellStyle name="SAPBEXHLevel3X 2 3" xfId="7105"/>
    <cellStyle name="SAPBEXHLevel3X 3" xfId="7107"/>
    <cellStyle name="SAPBEXHLevel3X 3 2" xfId="7108"/>
    <cellStyle name="SAPBEXHLevel3X 4" xfId="7109"/>
    <cellStyle name="SAPBEXHLevel3X 5" xfId="7110"/>
    <cellStyle name="SAPBEXHLevel3X 6" xfId="7104"/>
    <cellStyle name="SAPBEXHLevel3X_2012 PL" xfId="3740"/>
    <cellStyle name="SAPBEXinputData" xfId="3741"/>
    <cellStyle name="SAPBEXinputData 2" xfId="3742"/>
    <cellStyle name="SAPBEXinputData_2012 PL" xfId="3743"/>
    <cellStyle name="SAPBEXItemHeader" xfId="3744"/>
    <cellStyle name="SAPBEXItemHeader 2" xfId="7111"/>
    <cellStyle name="SAPBEXresData" xfId="3745"/>
    <cellStyle name="SAPBEXresData 2" xfId="3746"/>
    <cellStyle name="SAPBEXresData 3" xfId="7112"/>
    <cellStyle name="SAPBEXresData_2012 PL" xfId="3747"/>
    <cellStyle name="SAPBEXresDataEmph" xfId="3748"/>
    <cellStyle name="SAPBEXresDataEmph 2" xfId="3749"/>
    <cellStyle name="SAPBEXresDataEmph 3" xfId="7113"/>
    <cellStyle name="SAPBEXresDataEmph_2012 PL" xfId="3750"/>
    <cellStyle name="SAPBEXresItem" xfId="3751"/>
    <cellStyle name="SAPBEXresItem 2" xfId="3752"/>
    <cellStyle name="SAPBEXresItem 3" xfId="7114"/>
    <cellStyle name="SAPBEXresItem_2012 PL" xfId="3753"/>
    <cellStyle name="SAPBEXresItemX" xfId="3754"/>
    <cellStyle name="SAPBEXresItemX 2" xfId="3755"/>
    <cellStyle name="SAPBEXresItemX 3" xfId="7115"/>
    <cellStyle name="SAPBEXresItemX_2012 PL" xfId="3756"/>
    <cellStyle name="SAPBEXstdData" xfId="3757"/>
    <cellStyle name="SAPBEXstdData 2" xfId="3758"/>
    <cellStyle name="SAPBEXstdData 3" xfId="7116"/>
    <cellStyle name="SAPBEXstdData_2012 PL" xfId="3759"/>
    <cellStyle name="SAPBEXstdDataEmph" xfId="3760"/>
    <cellStyle name="SAPBEXstdDataEmph 2" xfId="3761"/>
    <cellStyle name="SAPBEXstdDataEmph 3" xfId="7117"/>
    <cellStyle name="SAPBEXstdDataEmph_2012 PL" xfId="3762"/>
    <cellStyle name="SAPBEXstdItem" xfId="3763"/>
    <cellStyle name="SAPBEXstdItem 2" xfId="3764"/>
    <cellStyle name="SAPBEXstdItem 2 2" xfId="7120"/>
    <cellStyle name="SAPBEXstdItem 2 3" xfId="7119"/>
    <cellStyle name="SAPBEXstdItem 3" xfId="3765"/>
    <cellStyle name="SAPBEXstdItem 3 2" xfId="7122"/>
    <cellStyle name="SAPBEXstdItem 3 3" xfId="7121"/>
    <cellStyle name="SAPBEXstdItem 4" xfId="3766"/>
    <cellStyle name="SAPBEXstdItem 4 2" xfId="7123"/>
    <cellStyle name="SAPBEXstdItem 5" xfId="7124"/>
    <cellStyle name="SAPBEXstdItem 6" xfId="7118"/>
    <cellStyle name="SAPBEXstdItem_2012 PL" xfId="3767"/>
    <cellStyle name="SAPBEXstdItemX" xfId="3768"/>
    <cellStyle name="SAPBEXstdItemX 2" xfId="3769"/>
    <cellStyle name="SAPBEXstdItemX 2 2" xfId="7127"/>
    <cellStyle name="SAPBEXstdItemX 2 3" xfId="7126"/>
    <cellStyle name="SAPBEXstdItemX 3" xfId="7128"/>
    <cellStyle name="SAPBEXstdItemX 3 2" xfId="7129"/>
    <cellStyle name="SAPBEXstdItemX 4" xfId="7130"/>
    <cellStyle name="SAPBEXstdItemX 5" xfId="7131"/>
    <cellStyle name="SAPBEXstdItemX 6" xfId="7125"/>
    <cellStyle name="SAPBEXstdItemX_2012 PL" xfId="3770"/>
    <cellStyle name="SAPBEXtitle" xfId="3771"/>
    <cellStyle name="SAPBEXtitle 2" xfId="3772"/>
    <cellStyle name="SAPBEXtitle_2012 PL" xfId="3773"/>
    <cellStyle name="SAPBEXunassignedItem" xfId="3774"/>
    <cellStyle name="SAPBEXunassignedItem 2" xfId="3775"/>
    <cellStyle name="SAPBEXundefined" xfId="3776"/>
    <cellStyle name="SAPBEXundefined 2" xfId="3777"/>
    <cellStyle name="SAPBEXundefined 3" xfId="7132"/>
    <cellStyle name="SAPBEXundefined_2012 PL" xfId="3778"/>
    <cellStyle name="SECTION TITLE" xfId="7133"/>
    <cellStyle name="SectionSubTitle" xfId="708"/>
    <cellStyle name="SectionTitle" xfId="709"/>
    <cellStyle name="SHADEDSTORES" xfId="710"/>
    <cellStyle name="Shading" xfId="7134"/>
    <cellStyle name="Shading 2" xfId="7135"/>
    <cellStyle name="Shading 2 2" xfId="7136"/>
    <cellStyle name="Shading 3" xfId="7137"/>
    <cellStyle name="Shading 3 2" xfId="7138"/>
    <cellStyle name="Shading 4" xfId="7139"/>
    <cellStyle name="Shading 5" xfId="7140"/>
    <cellStyle name="Shd Pe" xfId="7141"/>
    <cellStyle name="Sheet Title" xfId="3779"/>
    <cellStyle name="Source Line" xfId="711"/>
    <cellStyle name="Source Line 2" xfId="3780"/>
    <cellStyle name="specstores" xfId="712"/>
    <cellStyle name="SPOl" xfId="713"/>
    <cellStyle name="SPOl 2" xfId="3781"/>
    <cellStyle name="ssp " xfId="7142"/>
    <cellStyle name="ssp  2" xfId="7143"/>
    <cellStyle name="ssp  2 2" xfId="7144"/>
    <cellStyle name="ssp  3" xfId="7145"/>
    <cellStyle name="ssp  3 2" xfId="7146"/>
    <cellStyle name="ssp  4" xfId="7147"/>
    <cellStyle name="ssp  5" xfId="7148"/>
    <cellStyle name="Standaard" xfId="0" builtinId="0"/>
    <cellStyle name="Standaard 10" xfId="7149"/>
    <cellStyle name="Standaard 11" xfId="7150"/>
    <cellStyle name="Standaard 12" xfId="7151"/>
    <cellStyle name="Standaard 13" xfId="7310"/>
    <cellStyle name="Standaard 2" xfId="4"/>
    <cellStyle name="Standaard 2 2" xfId="714"/>
    <cellStyle name="Standaard 2 2 2" xfId="7153"/>
    <cellStyle name="Standaard 2 3" xfId="715"/>
    <cellStyle name="Standaard 2 3 2" xfId="7155"/>
    <cellStyle name="Standaard 2 3 3" xfId="7156"/>
    <cellStyle name="Standaard 2 3 4" xfId="7157"/>
    <cellStyle name="Standaard 2 3 5" xfId="7158"/>
    <cellStyle name="Standaard 2 3 6" xfId="7154"/>
    <cellStyle name="Standaard 2 4" xfId="3782"/>
    <cellStyle name="Standaard 2 4 2" xfId="3933"/>
    <cellStyle name="Standaard 2 5" xfId="7159"/>
    <cellStyle name="Standaard 2 6" xfId="7160"/>
    <cellStyle name="Standaard 2 7" xfId="7161"/>
    <cellStyle name="Standaard 2 8" xfId="7152"/>
    <cellStyle name="Standaard 3" xfId="716"/>
    <cellStyle name="Standaard 3 2" xfId="3783"/>
    <cellStyle name="Standaard 3 2 2" xfId="7164"/>
    <cellStyle name="Standaard 3 2 3" xfId="7163"/>
    <cellStyle name="Standaard 3 3" xfId="3784"/>
    <cellStyle name="Standaard 3 3 2" xfId="7165"/>
    <cellStyle name="Standaard 3 4" xfId="7166"/>
    <cellStyle name="Standaard 3 5" xfId="7162"/>
    <cellStyle name="Standaard 4" xfId="717"/>
    <cellStyle name="Standaard 4 2" xfId="3785"/>
    <cellStyle name="Standaard 4 2 2" xfId="7167"/>
    <cellStyle name="Standaard 4 3" xfId="3786"/>
    <cellStyle name="Standaard 4 3 2" xfId="7168"/>
    <cellStyle name="Standaard 4 4" xfId="7169"/>
    <cellStyle name="Standaard 4 5" xfId="7170"/>
    <cellStyle name="Standaard 5" xfId="3787"/>
    <cellStyle name="Standaard 5 2" xfId="7171"/>
    <cellStyle name="Standaard 5 3" xfId="7172"/>
    <cellStyle name="Standaard 5 4" xfId="7173"/>
    <cellStyle name="Standaard 6" xfId="5"/>
    <cellStyle name="Standaard 6 2" xfId="7175"/>
    <cellStyle name="Standaard 6 3" xfId="7174"/>
    <cellStyle name="Standaard 7" xfId="7176"/>
    <cellStyle name="Standaard 7 2" xfId="7177"/>
    <cellStyle name="Standaard 8" xfId="7178"/>
    <cellStyle name="Standaard 8 2" xfId="7179"/>
    <cellStyle name="Standaard 9" xfId="7180"/>
    <cellStyle name="Standaard 9 2" xfId="7181"/>
    <cellStyle name="Standaard_Tarieven Bitstream v25" xfId="9"/>
    <cellStyle name="Standaard_WEAS pricing_v3" xfId="7311"/>
    <cellStyle name="Standard format" xfId="3788"/>
    <cellStyle name="Standard format 2" xfId="3789"/>
    <cellStyle name="Standard_ " xfId="3790"/>
    <cellStyle name="std" xfId="718"/>
    <cellStyle name="std 2" xfId="3791"/>
    <cellStyle name="std 2 2" xfId="3792"/>
    <cellStyle name="std 2 3" xfId="7183"/>
    <cellStyle name="std 3" xfId="3793"/>
    <cellStyle name="std 4" xfId="7182"/>
    <cellStyle name="std_Preclosing" xfId="3794"/>
    <cellStyle name="Stijl 1" xfId="719"/>
    <cellStyle name="Stijl 1 2" xfId="3795"/>
    <cellStyle name="Stijl 1 2 2" xfId="3796"/>
    <cellStyle name="Stijl 1 2 3" xfId="7184"/>
    <cellStyle name="Stijl 1 2 4" xfId="7185"/>
    <cellStyle name="Stijl 1 3" xfId="7186"/>
    <cellStyle name="Stijl 1 4" xfId="7187"/>
    <cellStyle name="Stijl 1 4 2" xfId="7188"/>
    <cellStyle name="Stijl 1 5" xfId="7189"/>
    <cellStyle name="Style 1" xfId="720"/>
    <cellStyle name="Style 1 2" xfId="3797"/>
    <cellStyle name="Style 1 2 2" xfId="3798"/>
    <cellStyle name="Style 1 2_Pivot" xfId="7190"/>
    <cellStyle name="Style 1 3" xfId="3799"/>
    <cellStyle name="Style 1 3 2" xfId="7192"/>
    <cellStyle name="Style 1 3 3" xfId="7191"/>
    <cellStyle name="Style 1 4" xfId="7193"/>
    <cellStyle name="Style 1 5" xfId="7194"/>
    <cellStyle name="Style 1_110810_Overzicht_Orderintake" xfId="7195"/>
    <cellStyle name="Sub Title" xfId="721"/>
    <cellStyle name="subcalc" xfId="722"/>
    <cellStyle name="subhead" xfId="3800"/>
    <cellStyle name="Subtitle" xfId="7196"/>
    <cellStyle name="Subtitle 2" xfId="7197"/>
    <cellStyle name="Subtitle 2 2" xfId="7198"/>
    <cellStyle name="Subtitle 3" xfId="7199"/>
    <cellStyle name="Subtitle 3 2" xfId="7200"/>
    <cellStyle name="Subtitle 4" xfId="7201"/>
    <cellStyle name="Subtitle 5" xfId="7202"/>
    <cellStyle name="Subtotal" xfId="723"/>
    <cellStyle name="Subtotal 2" xfId="7203"/>
    <cellStyle name="Sum 1 (bold)" xfId="3801"/>
    <cellStyle name="Sum 1 (bold) 2" xfId="3802"/>
    <cellStyle name="Sum 2 (bold, upper line)" xfId="3803"/>
    <cellStyle name="Sum 2 (bold, upper line) 2" xfId="3804"/>
    <cellStyle name="Sum 3 (bold, lines)" xfId="3805"/>
    <cellStyle name="Sum 3 (bold, lines) 2" xfId="3806"/>
    <cellStyle name="Sum 4 (bold, double line)" xfId="3807"/>
    <cellStyle name="Sum 4 (bold, double line) 2" xfId="3808"/>
    <cellStyle name="summe1" xfId="3809"/>
    <cellStyle name="summe1 2" xfId="3810"/>
    <cellStyle name="survey_question_xlr8r" xfId="7204"/>
    <cellStyle name="t" xfId="7205"/>
    <cellStyle name="t_AlternCarriersComps 14 09" xfId="7206"/>
    <cellStyle name="t_B2 Comps (22-June-04)#" xfId="7207"/>
    <cellStyle name="t_Forest Alt Net+IT Comps" xfId="7208"/>
    <cellStyle name="t_Manager" xfId="7209"/>
    <cellStyle name="t_Valuation Model v1" xfId="7210"/>
    <cellStyle name="Table Head" xfId="724"/>
    <cellStyle name="Table Head Aligned" xfId="725"/>
    <cellStyle name="Table Head Aligned 2" xfId="3811"/>
    <cellStyle name="Table Head Aligned 3" xfId="7211"/>
    <cellStyle name="Table Head Blue" xfId="726"/>
    <cellStyle name="Table Head Green" xfId="727"/>
    <cellStyle name="Table Head Green 2" xfId="3812"/>
    <cellStyle name="Table Head_OIT data LE,SCM,INS,targets" xfId="7212"/>
    <cellStyle name="Table Heading" xfId="728"/>
    <cellStyle name="Table Title" xfId="729"/>
    <cellStyle name="Table Units" xfId="730"/>
    <cellStyle name="Table Units 2" xfId="7213"/>
    <cellStyle name="TableGreenHeader" xfId="7214"/>
    <cellStyle name="TableGreenHeader 2" xfId="7215"/>
    <cellStyle name="taples Plaza" xfId="3813"/>
    <cellStyle name="taples Plaza 2" xfId="3814"/>
    <cellStyle name="taples Plaza 2 2" xfId="7216"/>
    <cellStyle name="taples Plaza 3" xfId="7217"/>
    <cellStyle name="taples Plaza 3 2" xfId="7218"/>
    <cellStyle name="taples Plaza 4" xfId="7219"/>
    <cellStyle name="taples Plaza 5" xfId="7220"/>
    <cellStyle name="tbl_note_xlr8r" xfId="7221"/>
    <cellStyle name="Text 1" xfId="3815"/>
    <cellStyle name="Text 2" xfId="3816"/>
    <cellStyle name="Text 3" xfId="3817"/>
    <cellStyle name="Text 4" xfId="3818"/>
    <cellStyle name="Text Indent A" xfId="3819"/>
    <cellStyle name="Text Indent B" xfId="3820"/>
    <cellStyle name="Text Indent B 2" xfId="7222"/>
    <cellStyle name="Text Indent C" xfId="3821"/>
    <cellStyle name="Text Indent C 2" xfId="7223"/>
    <cellStyle name="þ­_x000c_™_x0009_qý)_x000d_8ýß_x0007_—_x001c_ˆ)_x0007__x0001__x0001_" xfId="731"/>
    <cellStyle name="þ­_x000c_™_x0009_qý)_x000d_8ýß_x0007_—_x001c_ˆ)_x0007__x0001__x0001_ 2" xfId="3822"/>
    <cellStyle name="þ­_x000c_™_x0009_qý)_x000d_8ýß_x0007_—_x001c_ˆ)_x0007__x0001__x0001_ 2 2" xfId="3823"/>
    <cellStyle name="þ­_x000c_™_x0009_qý)_x000d_8ýß_x0007_—_x001c_)_x0007__x0001__x0001_" xfId="732"/>
    <cellStyle name="þ­_x000c_™_x0009_qý)_x000d_8ýß_x0007_—_x001c_)_x0007__x0001__x0001_ 2" xfId="733"/>
    <cellStyle name="þ­_x000c_™_x0009_qý)_x000d_8ýß_x0007_—_x001c_)_x0007__x0001__x0001_ 2 2" xfId="3824"/>
    <cellStyle name="þ­_x000c_™_x0009_qý)_x000d_8ýß_x0007_—_x001c_)_x0007__x0001__x0001_ 3" xfId="3825"/>
    <cellStyle name="þ­_x000c_™_x0009_qý)_x000d_8ýß_x0007_—_x001c_Œ)_x0007__x0001__x0001_" xfId="734"/>
    <cellStyle name="þ­_x000c_™_x0009_qý)_x000d_8ýß_x0007_—_x001c_Œ)_x0007__x0001__x0001_ 2" xfId="735"/>
    <cellStyle name="þ­_x000c_™_x0009_qý)_x000d_8ýß_x0007_—_x001c_Œ)_x0007__x0001__x0001_ 2 2" xfId="3826"/>
    <cellStyle name="þ­_x000c_™_x0009_qý)_x000d_8ýß_x0007_—_x001c_Œ)_x0007__x0001__x0001_ 3" xfId="3827"/>
    <cellStyle name="þáÊ¹_x0009_oý)_x000d_8ýß_x0007_ËÚ‡_x0011__x0007__x0001__x0001_" xfId="736"/>
    <cellStyle name="þáÊ¹_x0009_oý)_x000d_8ýß_x0007_ËÚ‡_x0011__x0007__x0001__x0001_ 2" xfId="737"/>
    <cellStyle name="þáÊ¹_x0009_oý)_x000d_8ýß_x0007_ËÚ‡_x0011__x0007__x0001__x0001_ 2 2" xfId="3828"/>
    <cellStyle name="þáÊ¹_x0009_oý)_x000d_8ýß_x0007_ËÚ‡_x0011__x0007__x0001__x0001_ 3" xfId="3829"/>
    <cellStyle name="þ_x001d_ðE&amp;lüµ&amp;eüG_x0008_&gt;_x0010__x001d__x0011__x0007__x0001__x0001_" xfId="738"/>
    <cellStyle name="þ_x001d_ðE&amp;lüµ&amp;eüG_x0008_&gt;_x0010__x001d__x0011__x0007__x0001__x0001_ 2" xfId="3830"/>
    <cellStyle name="þ_x001d_ðE&amp;lüµ&amp;eüG_x0008_&gt;_x0010__x001d__x0011__x0007__x0001__x0001_ 2 2" xfId="3831"/>
    <cellStyle name="þÐþ•_x0009_7þ%_x000d_þýß_x0007_º_x000e_ª_x001b__x0007__x0001__x0001_" xfId="739"/>
    <cellStyle name="þÐþ•_x0009_7þ%_x000d_þýß_x0007_º_x000e_ª_x001b__x0007__x0001__x0001_ 2" xfId="740"/>
    <cellStyle name="þÐþ•_x0009_7þ%_x000d_þýß_x0007_º_x000e_ª_x001b__x0007__x0001__x0001_ 2 2" xfId="3832"/>
    <cellStyle name="þÐþ•_x0009_7þ%_x000d_þýß_x0007_º_x000e_ª_x001b__x0007__x0001__x0001_ 3" xfId="3833"/>
    <cellStyle name="þúÍ•_x0009_7þ%_x000d_þýß_x0007_äÝ†_x0011__x0007__x0001__x0001_" xfId="741"/>
    <cellStyle name="þúÍ•_x0009_7þ%_x000d_þýß_x0007_äÝ†_x0011__x0007__x0001__x0001_ 2" xfId="742"/>
    <cellStyle name="þúÍ•_x0009_7þ%_x000d_þýß_x0007_äÝ†_x0011__x0007__x0001__x0001_ 2 2" xfId="3834"/>
    <cellStyle name="þúÍ•_x0009_7þ%_x000d_þýß_x0007_äÝ†_x0011__x0007__x0001__x0001_ 3" xfId="3835"/>
    <cellStyle name="þúÍ•_x0009_7þ%_x000d_þýß_x0007_äÝ‡_x0011__x0007__x0001__x0001_" xfId="743"/>
    <cellStyle name="þúÍ•_x0009_7þ%_x000d_þýß_x0007_äÝ‡_x0011__x0007__x0001__x0001_ 2" xfId="744"/>
    <cellStyle name="þúÍ•_x0009_7þ%_x000d_þýß_x0007_äÝ‡_x0011__x0007__x0001__x0001_ 2 2" xfId="3836"/>
    <cellStyle name="þúÍ•_x0009_7þ%_x000d_þýß_x0007_äÝ‡_x0011__x0007__x0001__x0001_ 3" xfId="3837"/>
    <cellStyle name="þúÍ•_x0009_7þ%_x000d_þýß_x0007_äÝŠ_x0011__x0007__x0001__x0001_" xfId="745"/>
    <cellStyle name="þúÍ•_x0009_7þ%_x000d_þýß_x0007_äÝŠ_x0011__x000f__x0001__x0001_" xfId="746"/>
    <cellStyle name="þúÍ•_x0009_7þ%_x000d_þýß_x0007_äÝŠ_x0011__x0007__x0001__x0001_ 2" xfId="747"/>
    <cellStyle name="þúÍ•_x0009_7þ%_x000d_þýß_x0007_äÝŠ_x0011__x000f__x0001__x0001_ 2" xfId="3838"/>
    <cellStyle name="þúÍ•_x0009_7þ%_x000d_þýß_x0007_äÝŠ_x0011__x0007__x0001__x0001_ 2 10" xfId="3839"/>
    <cellStyle name="þúÍ•_x0009_7þ%_x000d_þýß_x0007_äÝŠ_x0011__x000f__x0001__x0001_ 2 10" xfId="3840"/>
    <cellStyle name="þúÍ•_x0009_7þ%_x000d_þýß_x0007_äÝŠ_x0011__x0007__x0001__x0001_ 2 2" xfId="3841"/>
    <cellStyle name="þúÍ•_x0009_7þ%_x000d_þýß_x0007_äÝŠ_x0011__x000f__x0001__x0001_ 2 2" xfId="3842"/>
    <cellStyle name="þúÍ•_x0009_7þ%_x000d_þýß_x0007_äÝŠ_x0011__x0007__x0001__x0001_ 2 3" xfId="3843"/>
    <cellStyle name="þúÍ•_x0009_7þ%_x000d_þýß_x0007_äÝŠ_x0011__x000f__x0001__x0001_ 2 3" xfId="3844"/>
    <cellStyle name="þúÍ•_x0009_7þ%_x000d_þýß_x0007_äÝŠ_x0011__x0007__x0001__x0001_ 2 4" xfId="3845"/>
    <cellStyle name="þúÍ•_x0009_7þ%_x000d_þýß_x0007_äÝŠ_x0011__x000f__x0001__x0001_ 2 4" xfId="3846"/>
    <cellStyle name="þúÍ•_x0009_7þ%_x000d_þýß_x0007_äÝŠ_x0011__x0007__x0001__x0001_ 2 5" xfId="3847"/>
    <cellStyle name="þúÍ•_x0009_7þ%_x000d_þýß_x0007_äÝŠ_x0011__x000f__x0001__x0001_ 2 5" xfId="3848"/>
    <cellStyle name="þúÍ•_x0009_7þ%_x000d_þýß_x0007_äÝŠ_x0011__x0007__x0001__x0001_ 2 6" xfId="3849"/>
    <cellStyle name="þúÍ•_x0009_7þ%_x000d_þýß_x0007_äÝŠ_x0011__x000f__x0001__x0001_ 2 6" xfId="3850"/>
    <cellStyle name="þúÍ•_x0009_7þ%_x000d_þýß_x0007_äÝŠ_x0011__x0007__x0001__x0001_ 2 7" xfId="3851"/>
    <cellStyle name="þúÍ•_x0009_7þ%_x000d_þýß_x0007_äÝŠ_x0011__x000f__x0001__x0001_ 2 7" xfId="3852"/>
    <cellStyle name="þúÍ•_x0009_7þ%_x000d_þýß_x0007_äÝŠ_x0011__x0007__x0001__x0001_ 2 8" xfId="3853"/>
    <cellStyle name="þúÍ•_x0009_7þ%_x000d_þýß_x0007_äÝŠ_x0011__x000f__x0001__x0001_ 2 8" xfId="3854"/>
    <cellStyle name="þúÍ•_x0009_7þ%_x000d_þýß_x0007_äÝŠ_x0011__x0007__x0001__x0001_ 2 9" xfId="3855"/>
    <cellStyle name="þúÍ•_x0009_7þ%_x000d_þýß_x0007_äÝŠ_x0011__x000f__x0001__x0001_ 2 9" xfId="3856"/>
    <cellStyle name="þúÍ•_x0009_7þ%_x000d_þýß_x0007_äÝŠ_x0011__x0007__x0001__x0001_ 3" xfId="3857"/>
    <cellStyle name="þúÍ•_x0009_7þ%_x000d_þýß_x0007_äÝŠ_x0011__x000f__x0001__x0001_ 3" xfId="3858"/>
    <cellStyle name="þúÍ•_x0009_7þ%_x000d_þýß_x0007_äÝŠ_x0011__x0007__x0001__x0001_ 3 10" xfId="3859"/>
    <cellStyle name="þúÍ•_x0009_7þ%_x000d_þýß_x0007_äÝŠ_x0011__x000f__x0001__x0001_ 3 10" xfId="3860"/>
    <cellStyle name="þúÍ•_x0009_7þ%_x000d_þýß_x0007_äÝŠ_x0011__x0007__x0001__x0001_ 3 2" xfId="3861"/>
    <cellStyle name="þúÍ•_x0009_7þ%_x000d_þýß_x0007_äÝŠ_x0011__x000f__x0001__x0001_ 3 2" xfId="3862"/>
    <cellStyle name="þúÍ•_x0009_7þ%_x000d_þýß_x0007_äÝŠ_x0011__x0007__x0001__x0001_ 3 3" xfId="3863"/>
    <cellStyle name="þúÍ•_x0009_7þ%_x000d_þýß_x0007_äÝŠ_x0011__x000f__x0001__x0001_ 3 3" xfId="3864"/>
    <cellStyle name="þúÍ•_x0009_7þ%_x000d_þýß_x0007_äÝŠ_x0011__x0007__x0001__x0001_ 3 4" xfId="3865"/>
    <cellStyle name="þúÍ•_x0009_7þ%_x000d_þýß_x0007_äÝŠ_x0011__x000f__x0001__x0001_ 3 4" xfId="3866"/>
    <cellStyle name="þúÍ•_x0009_7þ%_x000d_þýß_x0007_äÝŠ_x0011__x0007__x0001__x0001_ 3 5" xfId="3867"/>
    <cellStyle name="þúÍ•_x0009_7þ%_x000d_þýß_x0007_äÝŠ_x0011__x000f__x0001__x0001_ 3 5" xfId="3868"/>
    <cellStyle name="þúÍ•_x0009_7þ%_x000d_þýß_x0007_äÝŠ_x0011__x0007__x0001__x0001_ 3 6" xfId="3869"/>
    <cellStyle name="þúÍ•_x0009_7þ%_x000d_þýß_x0007_äÝŠ_x0011__x000f__x0001__x0001_ 3 6" xfId="3870"/>
    <cellStyle name="þúÍ•_x0009_7þ%_x000d_þýß_x0007_äÝŠ_x0011__x0007__x0001__x0001_ 3 7" xfId="3871"/>
    <cellStyle name="þúÍ•_x0009_7þ%_x000d_þýß_x0007_äÝŠ_x0011__x000f__x0001__x0001_ 3 7" xfId="3872"/>
    <cellStyle name="þúÍ•_x0009_7þ%_x000d_þýß_x0007_äÝŠ_x0011__x0007__x0001__x0001_ 3 8" xfId="3873"/>
    <cellStyle name="þúÍ•_x0009_7þ%_x000d_þýß_x0007_äÝŠ_x0011__x000f__x0001__x0001_ 3 8" xfId="3874"/>
    <cellStyle name="þúÍ•_x0009_7þ%_x000d_þýß_x0007_äÝŠ_x0011__x0007__x0001__x0001_ 3 9" xfId="3875"/>
    <cellStyle name="þúÍ•_x0009_7þ%_x000d_þýß_x0007_äÝŠ_x0011__x000f__x0001__x0001_ 3 9" xfId="3876"/>
    <cellStyle name="þúÍ•_x0009_7þ%_x000d_þýß_x0007_äÝŠ_x0011__x0007__x0001__x0001__ND5 squeeze model  whs-whs v2.21 DWDM ILL" xfId="3877"/>
    <cellStyle name="þúÍ•_x0009_7þ%_x000d_þýß_x0007_äÝŠ_x0011__x000f__x0001__x0001__ND5 squeeze model  whs-whs v2.21 DWDM ILL" xfId="3878"/>
    <cellStyle name="þŽø™_x0009_Nÿ)_x000d__x0015_ÿß_x0007_x_x0008_t_x0015__x0007__x0001__x0001_" xfId="748"/>
    <cellStyle name="þŽø™_x0009_Nÿ)_x000d__x0015_ÿß_x0007_x_x0008_t_x0015__x0007__x0001__x0001_ 2" xfId="749"/>
    <cellStyle name="þŽø™_x0009_Nÿ)_x000d__x0015_ÿß_x0007_x_x0008_t_x0015__x0007__x0001__x0001_ 2 2" xfId="3879"/>
    <cellStyle name="þŽø™_x0009_Nÿ)_x000d__x0015_ÿß_x0007_x_x0008_t_x0015__x0007__x0001__x0001_ 3" xfId="3880"/>
    <cellStyle name="Tijd" xfId="750"/>
    <cellStyle name="Time (hh:mm Uhr)" xfId="3881"/>
    <cellStyle name="Time (hh:mm Uhr) 2" xfId="3882"/>
    <cellStyle name="Titel 2" xfId="7224"/>
    <cellStyle name="Titel 3" xfId="7225"/>
    <cellStyle name="Title" xfId="7325"/>
    <cellStyle name="Title 1" xfId="3883"/>
    <cellStyle name="Title 2" xfId="3884"/>
    <cellStyle name="Title 2 2" xfId="7227"/>
    <cellStyle name="Title 3" xfId="3885"/>
    <cellStyle name="Title 3 2" xfId="7228"/>
    <cellStyle name="Title 4" xfId="3886"/>
    <cellStyle name="Title 4 2" xfId="7229"/>
    <cellStyle name="Title 5" xfId="7226"/>
    <cellStyle name="Title Line" xfId="751"/>
    <cellStyle name="Title_BP2008-2011_v2_kosten" xfId="7326"/>
    <cellStyle name="title2" xfId="7230"/>
    <cellStyle name="title2 2" xfId="7231"/>
    <cellStyle name="title2 2 2" xfId="7232"/>
    <cellStyle name="title2 3" xfId="7233"/>
    <cellStyle name="title2 3 2" xfId="7234"/>
    <cellStyle name="title2 4" xfId="7235"/>
    <cellStyle name="title2 5" xfId="7236"/>
    <cellStyle name="Titre1" xfId="752"/>
    <cellStyle name="Titre1 2" xfId="3887"/>
    <cellStyle name="Top Row" xfId="753"/>
    <cellStyle name="Top Row 2" xfId="7237"/>
    <cellStyle name="Top_Double_Bottom" xfId="7238"/>
    <cellStyle name="Tot 8 0.0" xfId="7239"/>
    <cellStyle name="Tot 8 0.0 2" xfId="7240"/>
    <cellStyle name="Tot 8 0.0 2 2" xfId="7241"/>
    <cellStyle name="Tot 8 0.0 3" xfId="7242"/>
    <cellStyle name="Tot 8 0.0 3 2" xfId="7243"/>
    <cellStyle name="Tot 8 0.0 4" xfId="7244"/>
    <cellStyle name="Tot 8 0.0 5" xfId="7245"/>
    <cellStyle name="Tot 8?0.0_110?29 PQ Challenge Linked to Sharepoint" xfId="7246"/>
    <cellStyle name="Tot 8Ġ0.0_110ĳ29 PQ Challenge Linked to Sharepoint" xfId="7247"/>
    <cellStyle name="Totaal 2" xfId="7248"/>
    <cellStyle name="Total" xfId="7327"/>
    <cellStyle name="Total 2" xfId="3888"/>
    <cellStyle name="Total 3" xfId="7249"/>
    <cellStyle name="Total Row" xfId="3889"/>
    <cellStyle name="TT.MM.JJ" xfId="3890"/>
    <cellStyle name="TWh" xfId="3891"/>
    <cellStyle name="TWh 2" xfId="3892"/>
    <cellStyle name="Überschrift1" xfId="3893"/>
    <cellStyle name="Überschrift1 2" xfId="7250"/>
    <cellStyle name="Überschrift2" xfId="3894"/>
    <cellStyle name="Überschrift3" xfId="3895"/>
    <cellStyle name="Überschrift3 2" xfId="7251"/>
    <cellStyle name="Überschrift4" xfId="3896"/>
    <cellStyle name="Überschrift4 2" xfId="7252"/>
    <cellStyle name="Uitvoer 2" xfId="7253"/>
    <cellStyle name="UnderlineNormal" xfId="7254"/>
    <cellStyle name="UnderlineNormal 2" xfId="7255"/>
    <cellStyle name="UnderlineNormal 2 2" xfId="7256"/>
    <cellStyle name="UnderlineNormal 3" xfId="7257"/>
    <cellStyle name="UnderlineNormal 3 2" xfId="7258"/>
    <cellStyle name="UnderlineNormal 4" xfId="7259"/>
    <cellStyle name="UnderlineNormal 5" xfId="7260"/>
    <cellStyle name="Unit" xfId="3897"/>
    <cellStyle name="Upload Only" xfId="7261"/>
    <cellStyle name="UploadThisRowValue" xfId="754"/>
    <cellStyle name="UploadThisRowValue 2" xfId="7263"/>
    <cellStyle name="UploadThisRowValue 2 2" xfId="7264"/>
    <cellStyle name="UploadThisRowValue 3" xfId="7265"/>
    <cellStyle name="UploadThisRowValue 3 2" xfId="7266"/>
    <cellStyle name="UploadThisRowValue 4" xfId="7267"/>
    <cellStyle name="UploadThisRowValue 5" xfId="7268"/>
    <cellStyle name="UploadThisRowValue 6" xfId="7262"/>
    <cellStyle name="US$ ($ 0.00)" xfId="3898"/>
    <cellStyle name="US$ Mio. ($ 0 Mio)" xfId="3899"/>
    <cellStyle name="Valuta" xfId="7309" builtinId="4"/>
    <cellStyle name="Valuta (0)_pldt" xfId="3900"/>
    <cellStyle name="Valuta 2" xfId="755"/>
    <cellStyle name="Valuta 2 2" xfId="3901"/>
    <cellStyle name="Valuta 2 2 2" xfId="7271"/>
    <cellStyle name="Valuta 2 2 3" xfId="7270"/>
    <cellStyle name="Valuta 2 3" xfId="3902"/>
    <cellStyle name="Valuta 2 3 2" xfId="7273"/>
    <cellStyle name="Valuta 2 3 3" xfId="7272"/>
    <cellStyle name="Valuta 2 4" xfId="3903"/>
    <cellStyle name="Valuta 2 4 2" xfId="7274"/>
    <cellStyle name="Valuta 2 5" xfId="7275"/>
    <cellStyle name="Valuta 2 6" xfId="7269"/>
    <cellStyle name="Valuta 3" xfId="7"/>
    <cellStyle name="Valuta 3 2" xfId="3904"/>
    <cellStyle name="Valuta 3 3" xfId="7276"/>
    <cellStyle name="Valuta 4" xfId="756"/>
    <cellStyle name="Valuta 4 2" xfId="7277"/>
    <cellStyle name="Valuta 5" xfId="7278"/>
    <cellStyle name="Valuta 6" xfId="7279"/>
    <cellStyle name="Verklarende tekst 2" xfId="7280"/>
    <cellStyle name="vic1" xfId="3905"/>
    <cellStyle name="vic1 2" xfId="3906"/>
    <cellStyle name="vic1 3" xfId="3907"/>
    <cellStyle name="vic1_GDC nieuwe pfc cc jan  2011 v4" xfId="3908"/>
    <cellStyle name="Waarschuwingstekst 2" xfId="7281"/>
    <cellStyle name="Währung [0]_ " xfId="3909"/>
    <cellStyle name="Währung_ " xfId="3910"/>
    <cellStyle name="Warning Text" xfId="7328"/>
    <cellStyle name="Warning Text 2" xfId="3911"/>
    <cellStyle name="Warning Text 3" xfId="7282"/>
    <cellStyle name="WP Header" xfId="7283"/>
    <cellStyle name="WP Header 2" xfId="7284"/>
    <cellStyle name="WP Header 2 2" xfId="7285"/>
    <cellStyle name="WP Header 3" xfId="7286"/>
    <cellStyle name="WP Header 3 2" xfId="7287"/>
    <cellStyle name="WP Header 4" xfId="7288"/>
    <cellStyle name="WP Header 5" xfId="7289"/>
    <cellStyle name="wrap" xfId="3912"/>
    <cellStyle name="Wrap text" xfId="3913"/>
    <cellStyle name="Wrap text 2" xfId="3914"/>
    <cellStyle name="Y_Titre 1" xfId="7290"/>
    <cellStyle name="Y_Titre 3" xfId="7291"/>
    <cellStyle name="year" xfId="757"/>
    <cellStyle name="Year (actual)" xfId="3915"/>
    <cellStyle name="Year (actual) 2" xfId="3916"/>
    <cellStyle name="Year (expected)" xfId="3917"/>
    <cellStyle name="Year (expected) 2" xfId="3918"/>
    <cellStyle name="year 2" xfId="3919"/>
    <cellStyle name="year 3" xfId="3920"/>
    <cellStyle name="year 4" xfId="3921"/>
    <cellStyle name="year 5" xfId="3922"/>
    <cellStyle name="Year 6" xfId="3923"/>
    <cellStyle name="year 7" xfId="7292"/>
    <cellStyle name="Year_080619_OBU035_Oerlikon Solar_valuae creation from JV options_v1600" xfId="3924"/>
    <cellStyle name="Yen (¥ 0 )" xfId="3925"/>
    <cellStyle name="Yen (¥ 0 ) 2" xfId="3926"/>
    <cellStyle name="Yen Mio (¥ 0 Mio.)" xfId="3927"/>
    <cellStyle name="Yen Mio (¥ 0 Mio.) 2" xfId="3928"/>
    <cellStyle name="zichtbaar" xfId="758"/>
    <cellStyle name="zichtbaar 2" xfId="3929"/>
    <cellStyle name="zichtbaar 2 2" xfId="3930"/>
    <cellStyle name="パーセント_QTBLNEW" xfId="7293"/>
    <cellStyle name="パーセントşQTBLNEW" xfId="7294"/>
    <cellStyle name="パーセントşQTBLNEW 2" xfId="7295"/>
    <cellStyle name="パーセントşQTBLNEW 2 2" xfId="7296"/>
    <cellStyle name="パーセントşQTBLNEW 3" xfId="7297"/>
    <cellStyle name="パーセントşQTBLNEW 3 2" xfId="7298"/>
    <cellStyle name="パーセントşQTBLNEW 4" xfId="7299"/>
    <cellStyle name="パーセントşQTBLNEW 5" xfId="7300"/>
    <cellStyle name="ハイパーリンク_BOOK1" xfId="7301"/>
    <cellStyle name="桁区切り [0.00]_~0032429" xfId="7302"/>
    <cellStyle name="桁区切り_~0032429" xfId="7303"/>
    <cellStyle name="標準_~0032429" xfId="7304"/>
    <cellStyle name="表示済みのハイパーリンク_BOOK1" xfId="7305"/>
    <cellStyle name="通貨 [0.00]_~0032429" xfId="7306"/>
    <cellStyle name="通貨_~0032429" xfId="7307"/>
  </cellStyles>
  <dxfs count="48">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s>
  <tableStyles count="0" defaultTableStyle="TableStyleMedium2" defaultPivotStyle="PivotStyleLight16"/>
  <colors>
    <mruColors>
      <color rgb="FF0000FF"/>
      <color rgb="FF006600"/>
      <color rgb="FF33CC33"/>
      <color rgb="FFCC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externalLink" Target="externalLinks/externalLink1.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3.xml"/><Relationship Id="rId30"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20150201%20LPM%20Epacity%20VDSL.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ht0000119/AppData/Local/Microsoft/Windows/INetCache/Content.Outlook/RHEII7AY/KWT%20KPN%20EEN%2015.2%20Concept.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ht0000119\AppData\Local\Microsoft\Windows\INetCache\Content.Outlook\RHEII7AY\KWT%20KPN%20EEN%2015.2%20Concept.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gboek"/>
      <sheetName val="ModelStructuur"/>
      <sheetName val="Parameters"/>
      <sheetName val="Mapping"/>
      <sheetName val="ZM Epacity"/>
      <sheetName val="ZM tariefblad PLAT"/>
      <sheetName val="WO WBA ZM Ethe"/>
      <sheetName val="WO WBA CM"/>
      <sheetName val="WO tariefblad PLAT"/>
      <sheetName val="EDC Minus"/>
      <sheetName val="LRIC"/>
      <sheetName val="REKENBLAD"/>
      <sheetName val="2de PVC"/>
      <sheetName val="Rapportage"/>
      <sheetName val="KWTtransfersheet"/>
      <sheetName val="Check"/>
    </sheetNames>
    <sheetDataSet>
      <sheetData sheetId="0"/>
      <sheetData sheetId="1"/>
      <sheetData sheetId="2">
        <row r="2">
          <cell r="B2">
            <v>0.01</v>
          </cell>
        </row>
        <row r="3">
          <cell r="B3">
            <v>36</v>
          </cell>
        </row>
        <row r="6">
          <cell r="B6" t="str">
            <v>251+</v>
          </cell>
        </row>
        <row r="19">
          <cell r="B19">
            <v>0.1</v>
          </cell>
        </row>
        <row r="20">
          <cell r="B20">
            <v>0.1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ModelStructuur"/>
      <sheetName val="Beheer"/>
      <sheetName val="Mapping BE"/>
      <sheetName val="Mapping ND5"/>
      <sheetName val="PullDown"/>
      <sheetName val="VT ParapluMKB"/>
      <sheetName val="DataTabel_TariefBladGZM"/>
      <sheetName val="Modules toelichting"/>
      <sheetName val="MSIS NotaCat Uniek"/>
      <sheetName val="MSIS NotaCat Dubbel"/>
      <sheetName val="MSIS NotaCat"/>
      <sheetName val="MSIS Gemiddeld"/>
      <sheetName val="LPM KPN EEN MKB"/>
      <sheetName val="LPM KPN EEN GZM"/>
      <sheetName val="CallCat Mobiel"/>
      <sheetName val="Summary BE"/>
      <sheetName val="Summary ND5"/>
      <sheetName val="VG KF Parameters 2.0"/>
      <sheetName val="VG KF Parameters 2.0 tabel"/>
      <sheetName val="Lees Mij MKB"/>
      <sheetName val="Lees Mij_GZM"/>
      <sheetName val="Versiebeheer"/>
      <sheetName val="Versiebeheer Input"/>
      <sheetName val="Start MKB"/>
      <sheetName val="Start GZM"/>
      <sheetName val="MSIS"/>
      <sheetName val="Mobiel Belprofiel Winback"/>
      <sheetName val="Mobiel Belprofiel MSIS"/>
      <sheetName val="Mobiele Belprofielen MKB"/>
      <sheetName val="Mobiele Belprofielen GZM"/>
      <sheetName val="Vast Mobiel IDD"/>
      <sheetName val="InvoerBlad MKB"/>
      <sheetName val="Vast GZM"/>
      <sheetName val="Mobiel GZM"/>
      <sheetName val="HostedTelefonie GZM"/>
      <sheetName val="Overig GZM"/>
      <sheetName val="CBT Output Data"/>
      <sheetName val="User Input 1"/>
      <sheetName val="User Input 2"/>
      <sheetName val="Samenvatting GZM"/>
      <sheetName val="CBT Output KPN1 GZM"/>
      <sheetName val="CBT Output KPN1 MKB"/>
      <sheetName val="ManSum GZM"/>
      <sheetName val="ManSum"/>
      <sheetName val="JOIN"/>
    </sheetNames>
    <sheetDataSet>
      <sheetData sheetId="0"/>
      <sheetData sheetId="1"/>
      <sheetData sheetId="2">
        <row r="2">
          <cell r="C2" t="str">
            <v>GZM</v>
          </cell>
        </row>
        <row r="6">
          <cell r="C6" t="str">
            <v>Nee</v>
          </cell>
          <cell r="D6" t="str">
            <v>Nee</v>
          </cell>
        </row>
        <row r="13">
          <cell r="E13">
            <v>36</v>
          </cell>
        </row>
        <row r="14">
          <cell r="C14">
            <v>36</v>
          </cell>
          <cell r="D14">
            <v>36</v>
          </cell>
          <cell r="E14">
            <v>36</v>
          </cell>
        </row>
        <row r="19">
          <cell r="C19">
            <v>3</v>
          </cell>
          <cell r="D19">
            <v>6</v>
          </cell>
          <cell r="E19">
            <v>6</v>
          </cell>
        </row>
      </sheetData>
      <sheetData sheetId="3"/>
      <sheetData sheetId="4"/>
      <sheetData sheetId="5">
        <row r="2">
          <cell r="AL2" t="e">
            <v>#REF!</v>
          </cell>
        </row>
        <row r="3">
          <cell r="BJ3" t="str">
            <v>UC/Vast</v>
          </cell>
          <cell r="BL3" t="str">
            <v>Polycom Soundpoint IP321 (incl 220V)</v>
          </cell>
          <cell r="BN3" t="str">
            <v>Cisco IP phone 3905</v>
          </cell>
          <cell r="BP3" t="str">
            <v>Polycom VVX300 (PoE) (Hosted Lync)</v>
          </cell>
        </row>
        <row r="4">
          <cell r="J4" t="str">
            <v>Spraak8</v>
          </cell>
          <cell r="K4" t="str">
            <v>Spraak16</v>
          </cell>
          <cell r="L4" t="str">
            <v>Spraak32</v>
          </cell>
          <cell r="M4" t="str">
            <v>Spraak80</v>
          </cell>
          <cell r="N4" t="str">
            <v>Spraak0</v>
          </cell>
          <cell r="O4" t="str">
            <v>Spraak3</v>
          </cell>
          <cell r="P4" t="str">
            <v>Spraak4</v>
          </cell>
          <cell r="Q4" t="str">
            <v>Spraak30</v>
          </cell>
          <cell r="R4" t="str">
            <v>Spraak17</v>
          </cell>
          <cell r="S4" t="str">
            <v>Spraak20</v>
          </cell>
          <cell r="T4" t="str">
            <v>Spraak13</v>
          </cell>
          <cell r="AL4" t="str">
            <v/>
          </cell>
          <cell r="BJ4" t="str">
            <v>Mobiel</v>
          </cell>
          <cell r="BL4" t="str">
            <v>Polycom Soundpoint IP331 (incl 220V)</v>
          </cell>
          <cell r="BN4" t="str">
            <v>Cisco IP phone 7821</v>
          </cell>
          <cell r="BP4" t="str">
            <v>Polycom VVX310 (PoE) (Hosted Lync)</v>
          </cell>
        </row>
        <row r="5">
          <cell r="BJ5" t="str">
            <v>Data</v>
          </cell>
          <cell r="BL5" t="str">
            <v>Polycom Soundpoint IP650 (incl 220V)</v>
          </cell>
          <cell r="BN5" t="str">
            <v>Cisco IP phone 7841</v>
          </cell>
          <cell r="BP5" t="str">
            <v>Polycom VVX400 (PoE) (Hosted Lync)</v>
          </cell>
        </row>
        <row r="6">
          <cell r="AI6" t="e">
            <v>#REF!</v>
          </cell>
          <cell r="AJ6" t="e">
            <v>#REF!</v>
          </cell>
          <cell r="BJ6" t="str">
            <v>KPN I</v>
          </cell>
          <cell r="BL6" t="str">
            <v>Polycom Soundpoint IP321 (PoE)</v>
          </cell>
          <cell r="BN6" t="str">
            <v>Cisco IP phone 7861</v>
          </cell>
          <cell r="BP6" t="str">
            <v>Polycom VVX410 (PoE) (Hosted Lync)</v>
          </cell>
        </row>
        <row r="7">
          <cell r="BJ7" t="str">
            <v>ITS</v>
          </cell>
          <cell r="BL7" t="str">
            <v>Polycom Soundpoint IP331 (PoE)</v>
          </cell>
          <cell r="BN7" t="str">
            <v>Cisco Unified phone 8941</v>
          </cell>
          <cell r="BP7" t="str">
            <v>Polycom VVX500 (PoE) (Hosted Lync)</v>
          </cell>
        </row>
        <row r="8">
          <cell r="BJ8" t="str">
            <v>CSIO</v>
          </cell>
          <cell r="BL8" t="str">
            <v>Polycom Soundpoint IP650 (PoE)</v>
          </cell>
          <cell r="BN8" t="str">
            <v>Cisco Unified phone 8945</v>
          </cell>
          <cell r="BP8" t="str">
            <v>Polycom VVX600 (PoE) (Hosted Lync)</v>
          </cell>
        </row>
        <row r="9">
          <cell r="AI9" t="e">
            <v>#REF!</v>
          </cell>
          <cell r="AJ9" t="e">
            <v>#REF!</v>
          </cell>
          <cell r="BL9" t="str">
            <v>Yealink T41 (PoE)</v>
          </cell>
          <cell r="BN9" t="str">
            <v>Cisco Unified phone 8961</v>
          </cell>
          <cell r="BP9" t="str">
            <v>Polycom VVX Camera (Hosted Lync)</v>
          </cell>
        </row>
        <row r="10">
          <cell r="BL10" t="str">
            <v>Yealink T46 (PoE)</v>
          </cell>
          <cell r="BN10" t="str">
            <v>Cisco IP Conference phone 8831</v>
          </cell>
          <cell r="BP10" t="str">
            <v>Polycom VVX Color Expansie Module (Hosted Lync)</v>
          </cell>
        </row>
        <row r="11">
          <cell r="BL11" t="str">
            <v>Yealink voedingsadapter voor T4x serie</v>
          </cell>
          <cell r="BN11" t="str">
            <v>Cisco ATA 187 terminal adapter</v>
          </cell>
          <cell r="BP11" t="str">
            <v>Polycom VVX Expansie Module (Papier) (Hosted Lync)</v>
          </cell>
        </row>
        <row r="12">
          <cell r="BL12" t="str">
            <v>Yealink wandhouder voor T42/T41</v>
          </cell>
          <cell r="BP12" t="str">
            <v>Polycom IP560/IP670/VVX 500/600 universele voedingsadapter (per stuk) (Hosted Lync)</v>
          </cell>
        </row>
        <row r="13">
          <cell r="BL13" t="str">
            <v>Yealink wandhouder voor T46</v>
          </cell>
          <cell r="BP13" t="str">
            <v>Polycom IP560/IP670/VVX 500/600 universele voedingsadapter (5 stuks) (Hosted Lync)</v>
          </cell>
        </row>
        <row r="14">
          <cell r="BL14" t="str">
            <v>Yealink Bluetooth dongel</v>
          </cell>
          <cell r="BP14" t="str">
            <v>Polycom VVX serie wandhouder bevestigingsset (5 stuks) (Hosted Lync)</v>
          </cell>
        </row>
        <row r="15">
          <cell r="BL15" t="str">
            <v>Panasonic IP TGP500</v>
          </cell>
          <cell r="BP15" t="str">
            <v>Polycom VVX300/310/400/410 universele voedingsadapter (per stuk) (Hosted Lync)</v>
          </cell>
        </row>
        <row r="16">
          <cell r="BL16" t="str">
            <v>Panasonic IP TPA50</v>
          </cell>
          <cell r="BP16" t="str">
            <v>Polycom VVX300/310/400/410 universele voedingsadapter (5 stuks) (Hosted Lync)</v>
          </cell>
        </row>
        <row r="17">
          <cell r="BL17" t="str">
            <v>Grandstream HT702</v>
          </cell>
          <cell r="BP17" t="str">
            <v>Polycom CX500 IP</v>
          </cell>
        </row>
        <row r="18">
          <cell r="BL18" t="str">
            <v>Polycom VVX300 (PoE) (IP Centrex)</v>
          </cell>
          <cell r="BP18" t="str">
            <v>Polycom CX600 IP</v>
          </cell>
        </row>
        <row r="19">
          <cell r="BL19" t="str">
            <v>Polycom VVX serie wandhouder bevestigingsset (5 stuks) (IP Centrex)</v>
          </cell>
          <cell r="BP19" t="str">
            <v>Polycom CX500/CX600 voedingsadapter (5-pack)</v>
          </cell>
        </row>
        <row r="20">
          <cell r="BL20" t="str">
            <v>Polycom VVX300/310/400/410 universele voedingsadapter (per stuk) (IP Centrex)</v>
          </cell>
          <cell r="BP20" t="str">
            <v>Polycom CX600 wandhouder</v>
          </cell>
        </row>
        <row r="21">
          <cell r="BL21" t="str">
            <v>Polycom VVX300/310/400/410 universele voedingsadapter (5 stuks) (IP Centrex)</v>
          </cell>
          <cell r="BP21" t="str">
            <v>Robin SIP-deurtelefoon</v>
          </cell>
        </row>
        <row r="22">
          <cell r="BP22" t="str">
            <v>Robin SIP-deurtelefoon met camera</v>
          </cell>
        </row>
        <row r="23">
          <cell r="BP23" t="str">
            <v xml:space="preserve">Robin SIP-deurtelefoon POE adapter </v>
          </cell>
        </row>
        <row r="24">
          <cell r="BP24" t="str">
            <v>Polycom CX300 USB telefoon</v>
          </cell>
        </row>
        <row r="25">
          <cell r="BP25" t="str">
            <v>Jabra DIAL 550 USB telefoon</v>
          </cell>
        </row>
        <row r="26">
          <cell r="BP26" t="str">
            <v>Plantronics Calisto P240 USB telefoon</v>
          </cell>
        </row>
        <row r="27">
          <cell r="BP27" t="str">
            <v>Plantronics Voyager legend UC</v>
          </cell>
        </row>
        <row r="28">
          <cell r="BP28" t="str">
            <v>Plantronics Blackwire C310-M</v>
          </cell>
        </row>
        <row r="29">
          <cell r="BP29" t="str">
            <v>Plantronics Blackwire C320</v>
          </cell>
        </row>
        <row r="30">
          <cell r="BP30" t="str">
            <v>Plantronics Blackwire C435-M</v>
          </cell>
        </row>
        <row r="31">
          <cell r="BP31" t="str">
            <v>Plantronics Blackwire C510</v>
          </cell>
        </row>
        <row r="32">
          <cell r="BP32" t="str">
            <v>Plantronics Blackwire C520</v>
          </cell>
        </row>
        <row r="33">
          <cell r="BP33" t="str">
            <v>Plantronics Blackwire C710</v>
          </cell>
        </row>
        <row r="34">
          <cell r="BP34" t="str">
            <v>Plantronics Blackwire C720</v>
          </cell>
        </row>
        <row r="35">
          <cell r="BP35" t="str">
            <v>Plantronics W720-M</v>
          </cell>
        </row>
        <row r="36">
          <cell r="BP36" t="str">
            <v>Plantronics W740/A-M</v>
          </cell>
        </row>
        <row r="37">
          <cell r="BP37" t="str">
            <v>Plantronics W410-M</v>
          </cell>
        </row>
        <row r="38">
          <cell r="BP38" t="str">
            <v>Plantronics W420-M</v>
          </cell>
        </row>
        <row r="39">
          <cell r="BP39" t="str">
            <v>Plantronics Savi Office W440 draadloze USB headset</v>
          </cell>
        </row>
        <row r="40">
          <cell r="BP40" t="str">
            <v>Jabra draadloze headset 9470</v>
          </cell>
        </row>
        <row r="41">
          <cell r="BP41" t="str">
            <v>Jabra draadloze headset 9465 Duo</v>
          </cell>
        </row>
        <row r="42">
          <cell r="BP42" t="str">
            <v>Jabra PRO 930 Microsoft Lync draadloze USB headset</v>
          </cell>
        </row>
        <row r="43">
          <cell r="BP43" t="str">
            <v>Jabra PRO 935 Microsoft Lync draadloze USB headset</v>
          </cell>
        </row>
        <row r="44">
          <cell r="BP44" t="str">
            <v>Jabra BIZ 2400 USB OC headset Mono</v>
          </cell>
        </row>
        <row r="45">
          <cell r="BP45" t="str">
            <v>Jabra BIZ 2400 USB OC headset Duo</v>
          </cell>
        </row>
        <row r="46">
          <cell r="BP46" t="str">
            <v>Jabra UC Voice 750 MS Mono Light</v>
          </cell>
        </row>
        <row r="47">
          <cell r="BP47" t="str">
            <v>Jabra UC Voice 750 MS Duo Dark</v>
          </cell>
        </row>
        <row r="48">
          <cell r="BP48" t="str">
            <v>Jabra UC Voice 550 MS duo</v>
          </cell>
        </row>
        <row r="49">
          <cell r="BP49" t="str">
            <v>Jabra UC Voice 550 MS mono</v>
          </cell>
        </row>
        <row r="50">
          <cell r="BP50" t="str">
            <v>Jabra UC Voice 250 MS</v>
          </cell>
        </row>
        <row r="51">
          <cell r="BP51" t="str">
            <v>Jabra UC Voice 150 MS Duo</v>
          </cell>
        </row>
        <row r="52">
          <cell r="BP52" t="str">
            <v>Jabra UC Voice 150 MS Mono</v>
          </cell>
        </row>
        <row r="53">
          <cell r="BP53" t="str">
            <v>Jabra Speak 410</v>
          </cell>
        </row>
        <row r="54">
          <cell r="BP54" t="str">
            <v>Jabra Speak 510 (Hosted Lync)</v>
          </cell>
        </row>
        <row r="55">
          <cell r="BP55" t="str">
            <v>Jabra Speak 410/510 houder (Hosted Lync)</v>
          </cell>
        </row>
        <row r="56">
          <cell r="BP56" t="str">
            <v>Plantronics Calisto 620 (Hosted Lync)</v>
          </cell>
        </row>
        <row r="57">
          <cell r="BP57" t="str">
            <v>Polycom CX3000 vergadertelefoon</v>
          </cell>
        </row>
        <row r="58">
          <cell r="BP58" t="str">
            <v>Polycom CX3000 voedingsadapter</v>
          </cell>
        </row>
        <row r="59">
          <cell r="BP59" t="str">
            <v>Polycom CX3000 microfoonset</v>
          </cell>
        </row>
        <row r="60">
          <cell r="BP60" t="str">
            <v>Polycom CX5000 Roundtable</v>
          </cell>
        </row>
        <row r="61">
          <cell r="BP61" t="str">
            <v>Polycom CX7000 - Eagle Eye III camera &amp; HDX microfoon</v>
          </cell>
        </row>
        <row r="62">
          <cell r="BP62" t="str">
            <v>Polycom CX7000 - View Camera &amp; ingebouwde microfoon</v>
          </cell>
        </row>
        <row r="63">
          <cell r="BP63" t="str">
            <v>Microsoft LifeCam Cinema</v>
          </cell>
        </row>
        <row r="64">
          <cell r="BP64" t="str">
            <v>MediaPack 112 Analog VoIP Gateway, 2 FXS, SIP Package</v>
          </cell>
        </row>
        <row r="65">
          <cell r="BP65" t="str">
            <v>MediaPack 114 Analog VoIP Gateway, 4 FXS, SIP Package</v>
          </cell>
        </row>
        <row r="66">
          <cell r="BP66" t="str">
            <v>MediaPack 118 Analog VoIP Gateway, 8 FXS, SIP Package</v>
          </cell>
        </row>
        <row r="67">
          <cell r="BP67" t="str">
            <v>MediaPack 124 Analog VoIP Gateway,16 FXS, SIP Package</v>
          </cell>
        </row>
        <row r="68">
          <cell r="BP68" t="str">
            <v>MediaPack 124 Analog VoIP Gateway, 24 FXS, SIP Package</v>
          </cell>
        </row>
        <row r="69">
          <cell r="BP69" t="str">
            <v>MediaPack 124 Telco connector - 19"patchpaneel</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ow r="13">
          <cell r="C13">
            <v>42005</v>
          </cell>
        </row>
        <row r="14">
          <cell r="C14">
            <v>24</v>
          </cell>
          <cell r="F14" t="str">
            <v>Mobiel Belprofiel Winback</v>
          </cell>
        </row>
      </sheetData>
      <sheetData sheetId="25">
        <row r="13">
          <cell r="C13">
            <v>42005</v>
          </cell>
        </row>
        <row r="14">
          <cell r="C14">
            <v>36</v>
          </cell>
          <cell r="F14" t="str">
            <v>Mobiel Belprofiel Winback</v>
          </cell>
        </row>
      </sheetData>
      <sheetData sheetId="26"/>
      <sheetData sheetId="27"/>
      <sheetData sheetId="28"/>
      <sheetData sheetId="29"/>
      <sheetData sheetId="30"/>
      <sheetData sheetId="31"/>
      <sheetData sheetId="32"/>
      <sheetData sheetId="33">
        <row r="20">
          <cell r="E20" t="str">
            <v>Nee</v>
          </cell>
        </row>
      </sheetData>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 do"/>
      <sheetName val="ModelStructuur"/>
      <sheetName val="Beheer"/>
      <sheetName val="Mapping BE"/>
      <sheetName val="Mapping ND5"/>
      <sheetName val="PullDown"/>
      <sheetName val="VT ParapluMKB"/>
      <sheetName val="DataTabel_TariefBladGZM"/>
      <sheetName val="Modules toelichting"/>
      <sheetName val="MSIS NotaCat Uniek"/>
      <sheetName val="MSIS NotaCat Dubbel"/>
      <sheetName val="MSIS NotaCat"/>
      <sheetName val="MSIS Gemiddeld"/>
      <sheetName val="LPM KPN EEN MKB"/>
      <sheetName val="LPM KPN EEN GZM"/>
      <sheetName val="CallCat Mobiel"/>
      <sheetName val="Summary BE"/>
      <sheetName val="Summary ND5"/>
      <sheetName val="VG KF Parameters 2.0"/>
      <sheetName val="VG KF Parameters 2.0 tabel"/>
      <sheetName val="Lees Mij MKB"/>
      <sheetName val="Lees Mij_GZM"/>
      <sheetName val="Versiebeheer"/>
      <sheetName val="Versiebeheer Input"/>
      <sheetName val="Start MKB"/>
      <sheetName val="Start GZM"/>
      <sheetName val="MSIS"/>
      <sheetName val="Mobiel Belprofiel Winback"/>
      <sheetName val="Mobiel Belprofiel MSIS"/>
      <sheetName val="Mobiele Belprofielen MKB"/>
      <sheetName val="Mobiele Belprofielen GZM"/>
      <sheetName val="Vast Mobiel IDD"/>
      <sheetName val="InvoerBlad MKB"/>
      <sheetName val="Vast GZM"/>
      <sheetName val="Mobiel GZM"/>
      <sheetName val="HostedTelefonie GZM"/>
      <sheetName val="Overig GZM"/>
      <sheetName val="CBT Output Data"/>
      <sheetName val="User Input 1"/>
      <sheetName val="User Input 2"/>
      <sheetName val="Samenvatting GZM"/>
      <sheetName val="CBT Output KPN1 GZM"/>
      <sheetName val="CBT Output KPN1 MKB"/>
      <sheetName val="ManSum GZM"/>
      <sheetName val="ManSum"/>
      <sheetName val="JOIN"/>
    </sheetNames>
    <sheetDataSet>
      <sheetData sheetId="0" refreshError="1"/>
      <sheetData sheetId="1" refreshError="1"/>
      <sheetData sheetId="2" refreshError="1">
        <row r="2">
          <cell r="C2" t="str">
            <v>GZM</v>
          </cell>
        </row>
        <row r="6">
          <cell r="C6" t="str">
            <v>Nee</v>
          </cell>
          <cell r="D6" t="str">
            <v>Nee</v>
          </cell>
        </row>
        <row r="13">
          <cell r="E13">
            <v>36</v>
          </cell>
        </row>
        <row r="14">
          <cell r="C14">
            <v>36</v>
          </cell>
          <cell r="D14">
            <v>36</v>
          </cell>
          <cell r="E14">
            <v>36</v>
          </cell>
        </row>
        <row r="19">
          <cell r="C19">
            <v>3</v>
          </cell>
          <cell r="D19">
            <v>6</v>
          </cell>
          <cell r="E19">
            <v>6</v>
          </cell>
        </row>
      </sheetData>
      <sheetData sheetId="3" refreshError="1"/>
      <sheetData sheetId="4" refreshError="1"/>
      <sheetData sheetId="5" refreshError="1">
        <row r="2">
          <cell r="AL2" t="e">
            <v>#REF!</v>
          </cell>
        </row>
        <row r="3">
          <cell r="BJ3" t="str">
            <v>UC/Vast</v>
          </cell>
          <cell r="BL3" t="str">
            <v>Polycom Soundpoint IP321 (incl 220V)</v>
          </cell>
          <cell r="BN3" t="str">
            <v>Cisco IP phone 3905</v>
          </cell>
          <cell r="BP3" t="str">
            <v>Polycom VVX300 (PoE) (Hosted Lync)</v>
          </cell>
        </row>
        <row r="4">
          <cell r="J4" t="str">
            <v>Spraak8</v>
          </cell>
          <cell r="K4" t="str">
            <v>Spraak16</v>
          </cell>
          <cell r="L4" t="str">
            <v>Spraak32</v>
          </cell>
          <cell r="M4" t="str">
            <v>Spraak80</v>
          </cell>
          <cell r="N4" t="str">
            <v>Spraak0</v>
          </cell>
          <cell r="O4" t="str">
            <v>Spraak3</v>
          </cell>
          <cell r="P4" t="str">
            <v>Spraak4</v>
          </cell>
          <cell r="Q4" t="str">
            <v>Spraak30</v>
          </cell>
          <cell r="R4" t="str">
            <v>Spraak17</v>
          </cell>
          <cell r="S4" t="str">
            <v>Spraak20</v>
          </cell>
          <cell r="T4" t="str">
            <v>Spraak13</v>
          </cell>
          <cell r="AL4" t="str">
            <v/>
          </cell>
          <cell r="BJ4" t="str">
            <v>Mobiel</v>
          </cell>
          <cell r="BL4" t="str">
            <v>Polycom Soundpoint IP331 (incl 220V)</v>
          </cell>
          <cell r="BN4" t="str">
            <v>Cisco IP phone 7821</v>
          </cell>
          <cell r="BP4" t="str">
            <v>Polycom VVX310 (PoE) (Hosted Lync)</v>
          </cell>
        </row>
        <row r="5">
          <cell r="BJ5" t="str">
            <v>Data</v>
          </cell>
          <cell r="BL5" t="str">
            <v>Polycom Soundpoint IP650 (incl 220V)</v>
          </cell>
          <cell r="BN5" t="str">
            <v>Cisco IP phone 7841</v>
          </cell>
          <cell r="BP5" t="str">
            <v>Polycom VVX400 (PoE) (Hosted Lync)</v>
          </cell>
        </row>
        <row r="6">
          <cell r="AI6" t="e">
            <v>#REF!</v>
          </cell>
          <cell r="AJ6" t="e">
            <v>#REF!</v>
          </cell>
          <cell r="BJ6" t="str">
            <v>KPN I</v>
          </cell>
          <cell r="BL6" t="str">
            <v>Polycom Soundpoint IP321 (PoE)</v>
          </cell>
          <cell r="BN6" t="str">
            <v>Cisco IP phone 7861</v>
          </cell>
          <cell r="BP6" t="str">
            <v>Polycom VVX410 (PoE) (Hosted Lync)</v>
          </cell>
        </row>
        <row r="7">
          <cell r="BJ7" t="str">
            <v>ITS</v>
          </cell>
          <cell r="BL7" t="str">
            <v>Polycom Soundpoint IP331 (PoE)</v>
          </cell>
          <cell r="BN7" t="str">
            <v>Cisco Unified phone 8941</v>
          </cell>
          <cell r="BP7" t="str">
            <v>Polycom VVX500 (PoE) (Hosted Lync)</v>
          </cell>
        </row>
        <row r="8">
          <cell r="BJ8" t="str">
            <v>CSIO</v>
          </cell>
          <cell r="BL8" t="str">
            <v>Polycom Soundpoint IP650 (PoE)</v>
          </cell>
          <cell r="BN8" t="str">
            <v>Cisco Unified phone 8945</v>
          </cell>
          <cell r="BP8" t="str">
            <v>Polycom VVX600 (PoE) (Hosted Lync)</v>
          </cell>
        </row>
        <row r="9">
          <cell r="AI9" t="e">
            <v>#REF!</v>
          </cell>
          <cell r="AJ9" t="e">
            <v>#REF!</v>
          </cell>
          <cell r="BL9" t="str">
            <v>Yealink T41 (PoE)</v>
          </cell>
          <cell r="BN9" t="str">
            <v>Cisco Unified phone 8961</v>
          </cell>
          <cell r="BP9" t="str">
            <v>Polycom VVX Camera (Hosted Lync)</v>
          </cell>
        </row>
        <row r="10">
          <cell r="BL10" t="str">
            <v>Yealink T46 (PoE)</v>
          </cell>
          <cell r="BN10" t="str">
            <v>Cisco IP Conference phone 8831</v>
          </cell>
          <cell r="BP10" t="str">
            <v>Polycom VVX Color Expansie Module (Hosted Lync)</v>
          </cell>
        </row>
        <row r="11">
          <cell r="BL11" t="str">
            <v>Yealink voedingsadapter voor T4x serie</v>
          </cell>
          <cell r="BN11" t="str">
            <v>Cisco ATA 187 terminal adapter</v>
          </cell>
          <cell r="BP11" t="str">
            <v>Polycom VVX Expansie Module (Papier) (Hosted Lync)</v>
          </cell>
        </row>
        <row r="12">
          <cell r="BL12" t="str">
            <v>Yealink wandhouder voor T42/T41</v>
          </cell>
          <cell r="BP12" t="str">
            <v>Polycom IP560/IP670/VVX 500/600 universele voedingsadapter (per stuk) (Hosted Lync)</v>
          </cell>
        </row>
        <row r="13">
          <cell r="BL13" t="str">
            <v>Yealink wandhouder voor T46</v>
          </cell>
          <cell r="BP13" t="str">
            <v>Polycom IP560/IP670/VVX 500/600 universele voedingsadapter (5 stuks) (Hosted Lync)</v>
          </cell>
        </row>
        <row r="14">
          <cell r="BL14" t="str">
            <v>Yealink Bluetooth dongel</v>
          </cell>
          <cell r="BP14" t="str">
            <v>Polycom VVX serie wandhouder bevestigingsset (5 stuks) (Hosted Lync)</v>
          </cell>
        </row>
        <row r="15">
          <cell r="BL15" t="str">
            <v>Panasonic IP TGP500</v>
          </cell>
          <cell r="BP15" t="str">
            <v>Polycom VVX300/310/400/410 universele voedingsadapter (per stuk) (Hosted Lync)</v>
          </cell>
        </row>
        <row r="16">
          <cell r="BL16" t="str">
            <v>Panasonic IP TPA50</v>
          </cell>
          <cell r="BP16" t="str">
            <v>Polycom VVX300/310/400/410 universele voedingsadapter (5 stuks) (Hosted Lync)</v>
          </cell>
        </row>
        <row r="17">
          <cell r="BL17" t="str">
            <v>Grandstream HT702</v>
          </cell>
          <cell r="BP17" t="str">
            <v>Polycom CX500 IP</v>
          </cell>
        </row>
        <row r="18">
          <cell r="BL18" t="str">
            <v>Polycom VVX300 (PoE) (IP Centrex)</v>
          </cell>
          <cell r="BP18" t="str">
            <v>Polycom CX600 IP</v>
          </cell>
        </row>
        <row r="19">
          <cell r="BL19" t="str">
            <v>Polycom VVX serie wandhouder bevestigingsset (5 stuks) (IP Centrex)</v>
          </cell>
          <cell r="BP19" t="str">
            <v>Polycom CX500/CX600 voedingsadapter (5-pack)</v>
          </cell>
        </row>
        <row r="20">
          <cell r="BL20" t="str">
            <v>Polycom VVX300/310/400/410 universele voedingsadapter (per stuk) (IP Centrex)</v>
          </cell>
          <cell r="BP20" t="str">
            <v>Polycom CX600 wandhouder</v>
          </cell>
        </row>
        <row r="21">
          <cell r="BL21" t="str">
            <v>Polycom VVX300/310/400/410 universele voedingsadapter (5 stuks) (IP Centrex)</v>
          </cell>
          <cell r="BP21" t="str">
            <v>Robin SIP-deurtelefoon</v>
          </cell>
        </row>
        <row r="22">
          <cell r="BP22" t="str">
            <v>Robin SIP-deurtelefoon met camera</v>
          </cell>
        </row>
        <row r="23">
          <cell r="BP23" t="str">
            <v xml:space="preserve">Robin SIP-deurtelefoon POE adapter </v>
          </cell>
        </row>
        <row r="24">
          <cell r="BP24" t="str">
            <v>Polycom CX300 USB telefoon</v>
          </cell>
        </row>
        <row r="25">
          <cell r="BP25" t="str">
            <v>Jabra DIAL 550 USB telefoon</v>
          </cell>
        </row>
        <row r="26">
          <cell r="BP26" t="str">
            <v>Plantronics Calisto P240 USB telefoon</v>
          </cell>
        </row>
        <row r="27">
          <cell r="BP27" t="str">
            <v>Plantronics Voyager legend UC</v>
          </cell>
        </row>
        <row r="28">
          <cell r="BP28" t="str">
            <v>Plantronics Blackwire C310-M</v>
          </cell>
        </row>
        <row r="29">
          <cell r="BP29" t="str">
            <v>Plantronics Blackwire C320</v>
          </cell>
        </row>
        <row r="30">
          <cell r="BP30" t="str">
            <v>Plantronics Blackwire C435-M</v>
          </cell>
        </row>
        <row r="31">
          <cell r="BP31" t="str">
            <v>Plantronics Blackwire C510</v>
          </cell>
        </row>
        <row r="32">
          <cell r="BP32" t="str">
            <v>Plantronics Blackwire C520</v>
          </cell>
        </row>
        <row r="33">
          <cell r="BP33" t="str">
            <v>Plantronics Blackwire C710</v>
          </cell>
        </row>
        <row r="34">
          <cell r="BP34" t="str">
            <v>Plantronics Blackwire C720</v>
          </cell>
        </row>
        <row r="35">
          <cell r="BP35" t="str">
            <v>Plantronics W720-M</v>
          </cell>
        </row>
        <row r="36">
          <cell r="BP36" t="str">
            <v>Plantronics W740/A-M</v>
          </cell>
        </row>
        <row r="37">
          <cell r="BP37" t="str">
            <v>Plantronics W410-M</v>
          </cell>
        </row>
        <row r="38">
          <cell r="BP38" t="str">
            <v>Plantronics W420-M</v>
          </cell>
        </row>
        <row r="39">
          <cell r="BP39" t="str">
            <v>Plantronics Savi Office W440 draadloze USB headset</v>
          </cell>
        </row>
        <row r="40">
          <cell r="BP40" t="str">
            <v>Jabra draadloze headset 9470</v>
          </cell>
        </row>
        <row r="41">
          <cell r="BP41" t="str">
            <v>Jabra draadloze headset 9465 Duo</v>
          </cell>
        </row>
        <row r="42">
          <cell r="BP42" t="str">
            <v>Jabra PRO 930 Microsoft Lync draadloze USB headset</v>
          </cell>
        </row>
        <row r="43">
          <cell r="BP43" t="str">
            <v>Jabra PRO 935 Microsoft Lync draadloze USB headset</v>
          </cell>
        </row>
        <row r="44">
          <cell r="BP44" t="str">
            <v>Jabra BIZ 2400 USB OC headset Mono</v>
          </cell>
        </row>
        <row r="45">
          <cell r="BP45" t="str">
            <v>Jabra BIZ 2400 USB OC headset Duo</v>
          </cell>
        </row>
        <row r="46">
          <cell r="BP46" t="str">
            <v>Jabra UC Voice 750 MS Mono Light</v>
          </cell>
        </row>
        <row r="47">
          <cell r="BP47" t="str">
            <v>Jabra UC Voice 750 MS Duo Dark</v>
          </cell>
        </row>
        <row r="48">
          <cell r="BP48" t="str">
            <v>Jabra UC Voice 550 MS duo</v>
          </cell>
        </row>
        <row r="49">
          <cell r="BP49" t="str">
            <v>Jabra UC Voice 550 MS mono</v>
          </cell>
        </row>
        <row r="50">
          <cell r="BP50" t="str">
            <v>Jabra UC Voice 250 MS</v>
          </cell>
        </row>
        <row r="51">
          <cell r="BP51" t="str">
            <v>Jabra UC Voice 150 MS Duo</v>
          </cell>
        </row>
        <row r="52">
          <cell r="BP52" t="str">
            <v>Jabra UC Voice 150 MS Mono</v>
          </cell>
        </row>
        <row r="53">
          <cell r="BP53" t="str">
            <v>Jabra Speak 410</v>
          </cell>
        </row>
        <row r="54">
          <cell r="BP54" t="str">
            <v>Jabra Speak 510 (Hosted Lync)</v>
          </cell>
        </row>
        <row r="55">
          <cell r="BP55" t="str">
            <v>Jabra Speak 410/510 houder (Hosted Lync)</v>
          </cell>
        </row>
        <row r="56">
          <cell r="BP56" t="str">
            <v>Plantronics Calisto 620 (Hosted Lync)</v>
          </cell>
        </row>
        <row r="57">
          <cell r="BP57" t="str">
            <v>Polycom CX3000 vergadertelefoon</v>
          </cell>
        </row>
        <row r="58">
          <cell r="BP58" t="str">
            <v>Polycom CX3000 voedingsadapter</v>
          </cell>
        </row>
        <row r="59">
          <cell r="BP59" t="str">
            <v>Polycom CX3000 microfoonset</v>
          </cell>
        </row>
        <row r="60">
          <cell r="BP60" t="str">
            <v>Polycom CX5000 Roundtable</v>
          </cell>
        </row>
        <row r="61">
          <cell r="BP61" t="str">
            <v>Polycom CX7000 - Eagle Eye III camera &amp; HDX microfoon</v>
          </cell>
        </row>
        <row r="62">
          <cell r="BP62" t="str">
            <v>Polycom CX7000 - View Camera &amp; ingebouwde microfoon</v>
          </cell>
        </row>
        <row r="63">
          <cell r="BP63" t="str">
            <v>Microsoft LifeCam Cinema</v>
          </cell>
        </row>
        <row r="64">
          <cell r="BP64" t="str">
            <v>MediaPack 112 Analog VoIP Gateway, 2 FXS, SIP Package</v>
          </cell>
        </row>
        <row r="65">
          <cell r="BP65" t="str">
            <v>MediaPack 114 Analog VoIP Gateway, 4 FXS, SIP Package</v>
          </cell>
        </row>
        <row r="66">
          <cell r="BP66" t="str">
            <v>MediaPack 118 Analog VoIP Gateway, 8 FXS, SIP Package</v>
          </cell>
        </row>
        <row r="67">
          <cell r="BP67" t="str">
            <v>MediaPack 124 Analog VoIP Gateway,16 FXS, SIP Package</v>
          </cell>
        </row>
        <row r="68">
          <cell r="BP68" t="str">
            <v>MediaPack 124 Analog VoIP Gateway, 24 FXS, SIP Package</v>
          </cell>
        </row>
        <row r="69">
          <cell r="BP69" t="str">
            <v>MediaPack 124 Telco connector - 19"patchpaneel</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row r="13">
          <cell r="C13">
            <v>42005</v>
          </cell>
        </row>
        <row r="14">
          <cell r="C14">
            <v>24</v>
          </cell>
          <cell r="F14" t="str">
            <v>Mobiel Belprofiel Winback</v>
          </cell>
        </row>
      </sheetData>
      <sheetData sheetId="25" refreshError="1">
        <row r="13">
          <cell r="C13">
            <v>42005</v>
          </cell>
        </row>
        <row r="14">
          <cell r="C14">
            <v>36</v>
          </cell>
          <cell r="F14" t="str">
            <v>Mobiel Belprofiel Winback</v>
          </cell>
        </row>
      </sheetData>
      <sheetData sheetId="26" refreshError="1"/>
      <sheetData sheetId="27" refreshError="1"/>
      <sheetData sheetId="28" refreshError="1"/>
      <sheetData sheetId="29" refreshError="1"/>
      <sheetData sheetId="30" refreshError="1"/>
      <sheetData sheetId="31" refreshError="1"/>
      <sheetData sheetId="32" refreshError="1"/>
      <sheetData sheetId="33" refreshError="1">
        <row r="20">
          <cell r="E20" t="str">
            <v>Nee</v>
          </cell>
        </row>
      </sheetData>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0.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tabSelected="1" workbookViewId="0">
      <selection activeCell="C20" sqref="C20"/>
    </sheetView>
  </sheetViews>
  <sheetFormatPr defaultColWidth="9.109375" defaultRowHeight="14.4"/>
  <cols>
    <col min="1" max="2" width="4.33203125" style="450" customWidth="1"/>
    <col min="3" max="3" width="30.6640625" style="450" customWidth="1"/>
    <col min="4" max="16384" width="9.109375" style="450"/>
  </cols>
  <sheetData>
    <row r="1" spans="1:10" s="782" customFormat="1" ht="13.2">
      <c r="B1" s="783"/>
    </row>
    <row r="2" spans="1:10" s="782" customFormat="1" ht="13.2">
      <c r="B2" s="784"/>
      <c r="C2" s="784" t="str">
        <f ca="1">UPPER(MID(CELL("filename",A1),FIND("[",CELL("filename",A1))+1,FIND("]",CELL("filename",A1))-FIND("[",CELL("filename",A1))-5))</f>
        <v>LPM MB15 - VT TRADITIONEEL 20170201 OBV ULL OPENBAAR.</v>
      </c>
    </row>
    <row r="3" spans="1:10" s="782" customFormat="1" ht="13.2">
      <c r="B3" s="783"/>
      <c r="C3" s="782" t="s">
        <v>1249</v>
      </c>
    </row>
    <row r="4" spans="1:10" s="782" customFormat="1" ht="13.2">
      <c r="A4" s="785"/>
      <c r="B4" s="786"/>
      <c r="C4" s="785"/>
      <c r="D4" s="785"/>
      <c r="E4" s="785"/>
      <c r="F4" s="785"/>
      <c r="G4" s="785"/>
      <c r="H4" s="785"/>
      <c r="I4" s="785"/>
      <c r="J4" s="785"/>
    </row>
    <row r="5" spans="1:10" s="787" customFormat="1" ht="13.2">
      <c r="B5" s="788"/>
      <c r="C5" s="789"/>
    </row>
    <row r="6" spans="1:10" s="787" customFormat="1" ht="13.2">
      <c r="B6" s="788"/>
    </row>
    <row r="7" spans="1:10" s="787" customFormat="1" ht="13.2">
      <c r="B7" s="788"/>
    </row>
    <row r="8" spans="1:10" s="790" customFormat="1" ht="13.2">
      <c r="B8" s="791" t="s">
        <v>1022</v>
      </c>
      <c r="C8" s="792" t="s">
        <v>1250</v>
      </c>
    </row>
    <row r="9" spans="1:10" s="787" customFormat="1" ht="13.2">
      <c r="B9" s="788"/>
      <c r="C9" s="789"/>
    </row>
    <row r="10" spans="1:10" s="787" customFormat="1">
      <c r="B10" s="788"/>
      <c r="C10" s="793" t="s">
        <v>1251</v>
      </c>
    </row>
    <row r="11" spans="1:10" s="787" customFormat="1">
      <c r="B11" s="788"/>
      <c r="C11" s="793" t="s">
        <v>1252</v>
      </c>
    </row>
    <row r="12" spans="1:10" s="787" customFormat="1">
      <c r="B12" s="788"/>
      <c r="C12" s="794"/>
    </row>
    <row r="13" spans="1:10" s="790" customFormat="1" ht="13.2">
      <c r="B13" s="791" t="s">
        <v>1085</v>
      </c>
      <c r="C13" s="792" t="s">
        <v>1253</v>
      </c>
    </row>
    <row r="14" spans="1:10" ht="15.6">
      <c r="B14" s="795"/>
      <c r="C14" s="789"/>
      <c r="D14" s="787"/>
      <c r="E14" s="796"/>
    </row>
    <row r="15" spans="1:10" ht="15.6">
      <c r="B15" s="795"/>
      <c r="C15" s="797" t="s">
        <v>1254</v>
      </c>
      <c r="D15" s="798"/>
      <c r="E15" s="799"/>
    </row>
    <row r="16" spans="1:10" ht="15.6">
      <c r="B16" s="795"/>
      <c r="C16" s="800" t="s">
        <v>1255</v>
      </c>
      <c r="D16" s="801"/>
      <c r="E16" s="802"/>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3"/>
    <pageSetUpPr fitToPage="1"/>
  </sheetPr>
  <dimension ref="A1:W724"/>
  <sheetViews>
    <sheetView topLeftCell="A43" workbookViewId="0">
      <selection activeCell="E18" sqref="E18"/>
    </sheetView>
  </sheetViews>
  <sheetFormatPr defaultColWidth="0" defaultRowHeight="13.2" zeroHeight="1"/>
  <cols>
    <col min="1" max="1" width="2.6640625" style="506" customWidth="1"/>
    <col min="2" max="2" width="3.33203125" style="506" customWidth="1"/>
    <col min="3" max="3" width="2.44140625" style="506" customWidth="1"/>
    <col min="4" max="4" width="54.44140625" style="506" customWidth="1"/>
    <col min="5" max="5" width="17.44140625" style="506" customWidth="1"/>
    <col min="6" max="7" width="19" style="506" bestFit="1" customWidth="1"/>
    <col min="8" max="8" width="17.33203125" style="506" bestFit="1" customWidth="1"/>
    <col min="9" max="9" width="23.44140625" style="506" customWidth="1"/>
    <col min="10" max="10" width="19.5546875" style="506" customWidth="1"/>
    <col min="11" max="11" width="25" style="506" bestFit="1" customWidth="1"/>
    <col min="12" max="12" width="16.6640625" style="506" customWidth="1"/>
    <col min="13" max="13" width="19" style="506" bestFit="1" customWidth="1"/>
    <col min="14" max="14" width="25" style="506" hidden="1" customWidth="1"/>
    <col min="15" max="15" width="13.44140625" style="506" hidden="1" customWidth="1"/>
    <col min="16" max="16" width="16" style="506" hidden="1" customWidth="1"/>
    <col min="17" max="18" width="19" style="506" hidden="1" customWidth="1"/>
    <col min="19" max="19" width="16.5546875" style="506" hidden="1" customWidth="1"/>
    <col min="20" max="23" width="10" style="506" hidden="1" customWidth="1"/>
    <col min="24" max="16384" width="10" style="506" hidden="1"/>
  </cols>
  <sheetData>
    <row r="1" spans="2:23">
      <c r="D1" s="507"/>
    </row>
    <row r="2" spans="2:23">
      <c r="D2" s="508"/>
      <c r="E2" s="508" t="str">
        <f ca="1">UPPER(MID(CELL("filename",A1),FIND("[",CELL("filename",A1))+1,FIND("]",CELL("filename",A1))-FIND("[",CELL("filename",A1))-5))</f>
        <v>LPM MB15 - VT TRADITIONEEL 20170201 OBV ULL OPENBAAR.</v>
      </c>
    </row>
    <row r="3" spans="2:23">
      <c r="D3" s="507"/>
      <c r="E3" s="506" t="str">
        <f ca="1">UPPER(MID(CELL("filename",A2),FIND("]",CELL("filename",A2))+1,LEN(CELL("filename",A2))))</f>
        <v>PARAMETERS ULL</v>
      </c>
    </row>
    <row r="4" spans="2:23" s="509" customFormat="1">
      <c r="D4" s="510"/>
    </row>
    <row r="5" spans="2:23"/>
    <row r="6" spans="2:23">
      <c r="D6" s="508"/>
    </row>
    <row r="7" spans="2:23" s="513" customFormat="1">
      <c r="B7" s="511" t="s">
        <v>1022</v>
      </c>
      <c r="C7" s="512" t="s">
        <v>1023</v>
      </c>
      <c r="N7" s="506"/>
      <c r="O7" s="506"/>
      <c r="P7" s="506"/>
      <c r="Q7" s="506"/>
      <c r="R7" s="506"/>
      <c r="S7" s="506"/>
      <c r="T7" s="506"/>
      <c r="U7" s="506"/>
      <c r="V7" s="506"/>
      <c r="W7" s="506"/>
    </row>
    <row r="8" spans="2:23" s="516" customFormat="1">
      <c r="B8" s="514"/>
      <c r="C8" s="515"/>
      <c r="N8" s="506"/>
      <c r="O8" s="506"/>
      <c r="P8" s="506"/>
      <c r="Q8" s="506"/>
      <c r="R8" s="506"/>
      <c r="S8" s="506"/>
      <c r="T8" s="506"/>
      <c r="U8" s="506"/>
      <c r="V8" s="506"/>
      <c r="W8" s="506"/>
    </row>
    <row r="9" spans="2:23">
      <c r="D9" s="508" t="s">
        <v>1024</v>
      </c>
      <c r="E9" s="517"/>
      <c r="F9" s="517"/>
      <c r="G9" s="517"/>
      <c r="H9" s="517"/>
      <c r="I9" s="517"/>
      <c r="J9" s="517"/>
      <c r="K9" s="515"/>
      <c r="L9" s="515"/>
      <c r="M9" s="515"/>
    </row>
    <row r="10" spans="2:23">
      <c r="D10" s="518" t="s">
        <v>1025</v>
      </c>
      <c r="E10" s="519">
        <v>36</v>
      </c>
      <c r="F10" s="520"/>
      <c r="G10" s="520"/>
      <c r="H10" s="520"/>
      <c r="I10" s="520"/>
      <c r="J10" s="520"/>
      <c r="K10" s="520"/>
      <c r="L10" s="520"/>
      <c r="M10" s="520"/>
    </row>
    <row r="11" spans="2:23">
      <c r="D11" s="516"/>
      <c r="E11" s="520"/>
      <c r="F11" s="520"/>
      <c r="G11" s="520"/>
      <c r="H11" s="520"/>
      <c r="I11" s="520"/>
      <c r="J11" s="520"/>
      <c r="K11" s="520"/>
      <c r="L11" s="520"/>
      <c r="M11" s="520"/>
    </row>
    <row r="12" spans="2:23"/>
    <row r="13" spans="2:23" s="513" customFormat="1">
      <c r="B13" s="511" t="s">
        <v>1026</v>
      </c>
      <c r="C13" s="512" t="s">
        <v>1027</v>
      </c>
      <c r="N13" s="506"/>
      <c r="O13" s="506"/>
      <c r="P13" s="506"/>
      <c r="Q13" s="506"/>
      <c r="R13" s="506"/>
      <c r="S13" s="506"/>
      <c r="T13" s="506"/>
      <c r="U13" s="506"/>
      <c r="V13" s="506"/>
      <c r="W13" s="506"/>
    </row>
    <row r="14" spans="2:23">
      <c r="D14" s="472"/>
      <c r="E14" s="521"/>
      <c r="F14" s="521"/>
      <c r="G14" s="522"/>
      <c r="H14" s="522"/>
      <c r="I14" s="523"/>
      <c r="J14" s="523"/>
      <c r="K14" s="523"/>
      <c r="L14" s="524"/>
      <c r="N14" s="516"/>
      <c r="O14" s="516"/>
      <c r="P14" s="516"/>
    </row>
    <row r="15" spans="2:23">
      <c r="B15" s="506" t="s">
        <v>1028</v>
      </c>
      <c r="D15" s="472"/>
      <c r="E15" s="521"/>
      <c r="G15" s="521"/>
      <c r="H15" s="525"/>
      <c r="I15" s="523"/>
      <c r="J15" s="523"/>
      <c r="K15" s="523"/>
      <c r="L15" s="524"/>
      <c r="N15" s="516"/>
      <c r="O15" s="516"/>
      <c r="P15" s="516"/>
    </row>
    <row r="16" spans="2:23">
      <c r="D16" s="472"/>
      <c r="E16" s="521"/>
      <c r="F16" s="521"/>
      <c r="G16" s="521"/>
      <c r="H16" s="526"/>
      <c r="I16" s="523"/>
      <c r="J16" s="523"/>
      <c r="K16" s="523"/>
      <c r="L16" s="524"/>
      <c r="N16" s="516"/>
      <c r="O16" s="516"/>
      <c r="P16" s="516"/>
    </row>
    <row r="17" spans="2:23">
      <c r="D17" s="463" t="s">
        <v>1272</v>
      </c>
      <c r="E17" s="803">
        <v>100</v>
      </c>
      <c r="F17" s="521" t="s">
        <v>1029</v>
      </c>
      <c r="G17" s="521"/>
      <c r="I17" s="523"/>
      <c r="J17" s="523"/>
      <c r="K17" s="523"/>
      <c r="L17" s="524"/>
      <c r="N17" s="516"/>
      <c r="O17" s="516"/>
      <c r="P17" s="516"/>
    </row>
    <row r="18" spans="2:23">
      <c r="D18" s="472"/>
      <c r="E18" s="520"/>
      <c r="F18" s="521"/>
      <c r="G18" s="521"/>
      <c r="I18" s="523"/>
      <c r="J18" s="523"/>
      <c r="K18" s="523"/>
      <c r="L18" s="524"/>
      <c r="N18" s="516"/>
      <c r="O18" s="516"/>
      <c r="P18" s="516"/>
    </row>
    <row r="19" spans="2:23">
      <c r="D19" s="472"/>
      <c r="E19" s="527"/>
      <c r="F19" s="521"/>
      <c r="G19" s="522"/>
      <c r="H19" s="522"/>
      <c r="I19" s="523"/>
      <c r="J19" s="523"/>
      <c r="K19" s="523"/>
      <c r="L19" s="524"/>
      <c r="N19" s="516"/>
      <c r="O19" s="516"/>
      <c r="P19" s="516"/>
    </row>
    <row r="20" spans="2:23" s="513" customFormat="1">
      <c r="B20" s="511" t="s">
        <v>1030</v>
      </c>
      <c r="C20" s="512" t="s">
        <v>1031</v>
      </c>
      <c r="N20" s="506"/>
      <c r="O20" s="506"/>
      <c r="P20" s="506"/>
      <c r="Q20" s="506"/>
      <c r="R20" s="506"/>
      <c r="S20" s="506"/>
      <c r="T20" s="506"/>
      <c r="U20" s="506"/>
      <c r="V20" s="506"/>
      <c r="W20" s="506"/>
    </row>
    <row r="21" spans="2:23">
      <c r="D21" s="472"/>
      <c r="E21" s="527"/>
      <c r="F21" s="521"/>
      <c r="G21" s="522"/>
      <c r="H21" s="522"/>
      <c r="I21" s="523"/>
      <c r="J21" s="523"/>
      <c r="K21" s="523"/>
      <c r="L21" s="524"/>
      <c r="N21" s="516"/>
      <c r="O21" s="516"/>
      <c r="P21" s="516"/>
    </row>
    <row r="22" spans="2:23">
      <c r="D22" s="472"/>
      <c r="E22" s="527"/>
      <c r="F22" s="521"/>
      <c r="G22" s="522"/>
      <c r="H22" s="522"/>
      <c r="I22" s="523"/>
      <c r="J22" s="523"/>
      <c r="K22" s="523"/>
      <c r="L22" s="524"/>
      <c r="N22" s="516"/>
      <c r="O22" s="516"/>
      <c r="P22" s="516"/>
    </row>
    <row r="23" spans="2:23">
      <c r="D23" s="472"/>
      <c r="E23" s="528" t="s">
        <v>1032</v>
      </c>
      <c r="F23" s="528" t="s">
        <v>933</v>
      </c>
      <c r="G23" s="528" t="s">
        <v>1033</v>
      </c>
      <c r="H23" s="529" t="s">
        <v>1034</v>
      </c>
      <c r="I23" s="523"/>
      <c r="J23" s="523"/>
      <c r="K23" s="523"/>
      <c r="L23" s="524"/>
      <c r="N23" s="516"/>
      <c r="O23" s="516"/>
      <c r="P23" s="516"/>
    </row>
    <row r="24" spans="2:23">
      <c r="D24" s="463" t="s">
        <v>1035</v>
      </c>
      <c r="E24" s="804">
        <v>1</v>
      </c>
      <c r="F24" s="804">
        <v>0</v>
      </c>
      <c r="G24" s="804">
        <v>0</v>
      </c>
      <c r="H24" s="804">
        <v>0</v>
      </c>
      <c r="I24" s="523"/>
      <c r="J24" s="523"/>
      <c r="K24" s="523"/>
      <c r="L24" s="524"/>
      <c r="N24" s="516"/>
      <c r="O24" s="516"/>
      <c r="P24" s="516"/>
    </row>
    <row r="25" spans="2:23">
      <c r="D25" s="472"/>
      <c r="E25" s="527"/>
      <c r="F25" s="521"/>
      <c r="G25" s="522"/>
      <c r="H25" s="522"/>
      <c r="I25" s="523"/>
      <c r="J25" s="523"/>
      <c r="K25" s="523"/>
      <c r="L25" s="524"/>
      <c r="N25" s="516"/>
      <c r="O25" s="516"/>
      <c r="P25" s="516"/>
    </row>
    <row r="26" spans="2:23">
      <c r="D26" s="463" t="s">
        <v>1036</v>
      </c>
      <c r="E26" s="805">
        <v>100</v>
      </c>
      <c r="F26" s="530" t="s">
        <v>1037</v>
      </c>
      <c r="G26" s="522"/>
      <c r="H26" s="522"/>
      <c r="I26" s="523"/>
      <c r="J26" s="523"/>
      <c r="K26" s="523"/>
      <c r="L26" s="524"/>
      <c r="N26" s="516"/>
      <c r="O26" s="516"/>
      <c r="P26" s="516"/>
    </row>
    <row r="27" spans="2:23">
      <c r="D27" s="472"/>
      <c r="E27" s="527"/>
      <c r="F27" s="521"/>
      <c r="G27" s="522"/>
      <c r="H27" s="522"/>
      <c r="I27" s="523"/>
      <c r="J27" s="523"/>
      <c r="K27" s="523"/>
      <c r="L27" s="524"/>
      <c r="N27" s="516"/>
      <c r="O27" s="516"/>
      <c r="P27" s="516"/>
    </row>
    <row r="28" spans="2:23">
      <c r="D28" s="463" t="s">
        <v>1038</v>
      </c>
      <c r="E28" s="531">
        <f>'Parameters ULL'!$E$24*'Inkoop tarief elementen'!$E$13+'Parameters ULL'!$F$24*'Inkoop tarief elementen'!$E$15+'Parameters ULL'!$G$24*'Inkoop tarief elementen'!$E$16+'Parameters ULL'!$H$24*($E$26+'Inkoop tarief elementen'!$E$13)</f>
        <v>70.72</v>
      </c>
      <c r="F28" s="521"/>
      <c r="G28" s="522"/>
      <c r="H28" s="522"/>
      <c r="I28" s="523"/>
      <c r="J28" s="523"/>
      <c r="K28" s="523"/>
      <c r="L28" s="524"/>
      <c r="N28" s="516"/>
      <c r="O28" s="516"/>
      <c r="P28" s="516"/>
    </row>
    <row r="29" spans="2:23">
      <c r="D29" s="463"/>
      <c r="E29" s="531"/>
      <c r="F29" s="521"/>
      <c r="G29" s="522"/>
      <c r="H29" s="522"/>
      <c r="I29" s="523"/>
      <c r="J29" s="523"/>
      <c r="K29" s="523"/>
      <c r="L29" s="524"/>
      <c r="N29" s="516"/>
      <c r="O29" s="516"/>
      <c r="P29" s="516"/>
    </row>
    <row r="30" spans="2:23">
      <c r="D30" s="463" t="s">
        <v>1039</v>
      </c>
      <c r="E30" s="531">
        <f>'Parameters ULL'!$E$24*'Inkoop tarief elementen'!$F$13+'Parameters ULL'!$F$24*'Inkoop tarief elementen'!$F$17+'Parameters ULL'!$G$24*'Inkoop tarief elementen'!$F$17+'Parameters ULL'!$H$24*($E$26+'Inkoop tarief elementen'!$F$13)</f>
        <v>166.88</v>
      </c>
      <c r="F30" s="521"/>
      <c r="G30" s="522"/>
      <c r="H30" s="522"/>
      <c r="I30" s="523"/>
      <c r="J30" s="523"/>
      <c r="K30" s="523"/>
      <c r="L30" s="524"/>
      <c r="N30" s="516"/>
      <c r="O30" s="516"/>
      <c r="P30" s="516"/>
    </row>
    <row r="31" spans="2:23">
      <c r="D31" s="472"/>
      <c r="E31" s="653"/>
      <c r="F31" s="521"/>
      <c r="G31" s="522"/>
      <c r="H31" s="522"/>
      <c r="I31" s="523"/>
      <c r="J31" s="523"/>
      <c r="K31" s="523"/>
      <c r="L31" s="524"/>
      <c r="N31" s="516"/>
      <c r="O31" s="516"/>
      <c r="P31" s="516"/>
    </row>
    <row r="32" spans="2:23">
      <c r="D32" s="472"/>
      <c r="E32" s="653"/>
      <c r="F32" s="521"/>
      <c r="G32" s="522"/>
      <c r="H32" s="522"/>
      <c r="I32" s="523"/>
      <c r="J32" s="523"/>
      <c r="K32" s="523"/>
      <c r="L32" s="524"/>
      <c r="N32" s="516"/>
      <c r="O32" s="516"/>
      <c r="P32" s="516"/>
    </row>
    <row r="33" spans="2:23">
      <c r="D33" s="472"/>
      <c r="E33" s="521"/>
      <c r="F33" s="521"/>
      <c r="G33" s="522"/>
      <c r="H33" s="522"/>
      <c r="I33" s="523"/>
      <c r="J33" s="523"/>
      <c r="K33" s="523"/>
      <c r="L33" s="524"/>
      <c r="N33" s="516"/>
      <c r="O33" s="516"/>
      <c r="P33" s="516"/>
    </row>
    <row r="34" spans="2:23" s="513" customFormat="1">
      <c r="B34" s="511" t="s">
        <v>1040</v>
      </c>
      <c r="C34" s="512" t="s">
        <v>1041</v>
      </c>
      <c r="N34" s="506"/>
      <c r="O34" s="506"/>
      <c r="P34" s="506"/>
      <c r="Q34" s="506"/>
      <c r="R34" s="506"/>
      <c r="S34" s="506"/>
      <c r="T34" s="506"/>
      <c r="U34" s="506"/>
      <c r="V34" s="506"/>
      <c r="W34" s="506"/>
    </row>
    <row r="35" spans="2:23">
      <c r="E35" s="521"/>
      <c r="F35" s="521"/>
      <c r="G35" s="522"/>
      <c r="H35" s="522"/>
      <c r="I35" s="523"/>
      <c r="J35" s="523"/>
      <c r="K35" s="523"/>
      <c r="L35" s="524"/>
      <c r="N35" s="516"/>
      <c r="O35" s="516"/>
      <c r="P35" s="516"/>
    </row>
    <row r="36" spans="2:23">
      <c r="E36" s="521"/>
      <c r="F36" s="521"/>
      <c r="G36" s="522"/>
      <c r="H36" s="522"/>
      <c r="I36" s="523"/>
      <c r="J36" s="523"/>
      <c r="K36" s="523"/>
      <c r="L36" s="524"/>
      <c r="N36" s="516"/>
      <c r="O36" s="516"/>
      <c r="P36" s="516"/>
    </row>
    <row r="37" spans="2:23">
      <c r="D37" s="463" t="s">
        <v>1042</v>
      </c>
      <c r="E37" s="806">
        <v>1</v>
      </c>
      <c r="F37" s="521"/>
      <c r="G37" s="522"/>
      <c r="H37" s="522"/>
      <c r="I37" s="523"/>
      <c r="J37" s="523"/>
      <c r="K37" s="523"/>
      <c r="L37" s="524"/>
      <c r="N37" s="516"/>
      <c r="O37" s="516"/>
      <c r="P37" s="516"/>
    </row>
    <row r="38" spans="2:23">
      <c r="D38" s="463" t="s">
        <v>1043</v>
      </c>
      <c r="E38" s="807">
        <v>1</v>
      </c>
      <c r="F38" s="521"/>
      <c r="G38" s="522"/>
      <c r="H38" s="522"/>
      <c r="I38" s="523"/>
      <c r="J38" s="523"/>
      <c r="K38" s="523"/>
      <c r="L38" s="524"/>
      <c r="N38" s="516"/>
      <c r="O38" s="516"/>
      <c r="P38" s="516"/>
    </row>
    <row r="39" spans="2:23">
      <c r="D39" s="463" t="s">
        <v>1044</v>
      </c>
      <c r="E39" s="803">
        <v>1</v>
      </c>
      <c r="F39" s="521"/>
      <c r="G39" s="522"/>
      <c r="H39" s="522"/>
      <c r="I39" s="523"/>
      <c r="J39" s="523"/>
      <c r="K39" s="523"/>
      <c r="L39" s="524"/>
      <c r="N39" s="516"/>
      <c r="O39" s="516"/>
      <c r="P39" s="516"/>
    </row>
    <row r="40" spans="2:23">
      <c r="D40" s="463" t="s">
        <v>1045</v>
      </c>
      <c r="E40" s="803">
        <v>50</v>
      </c>
      <c r="F40" s="521" t="s">
        <v>1046</v>
      </c>
      <c r="G40" s="522"/>
      <c r="H40" s="522"/>
      <c r="I40" s="523"/>
      <c r="J40" s="523"/>
      <c r="K40" s="523"/>
      <c r="L40" s="524"/>
      <c r="N40" s="516"/>
      <c r="O40" s="516"/>
      <c r="P40" s="516"/>
    </row>
    <row r="41" spans="2:23">
      <c r="D41" s="463" t="s">
        <v>1047</v>
      </c>
      <c r="E41" s="803">
        <v>50</v>
      </c>
      <c r="F41" s="521" t="s">
        <v>1046</v>
      </c>
      <c r="G41" s="522"/>
      <c r="H41" s="522"/>
      <c r="I41" s="523"/>
      <c r="J41" s="523"/>
      <c r="K41" s="523"/>
      <c r="L41" s="524"/>
      <c r="N41" s="516"/>
      <c r="O41" s="516"/>
      <c r="P41" s="516"/>
    </row>
    <row r="42" spans="2:23">
      <c r="D42" s="463" t="s">
        <v>1048</v>
      </c>
      <c r="E42" s="803">
        <v>100000</v>
      </c>
      <c r="F42" s="521"/>
      <c r="G42" s="522"/>
      <c r="H42" s="522"/>
      <c r="I42" s="523"/>
      <c r="J42" s="523"/>
      <c r="K42" s="523"/>
      <c r="L42" s="524"/>
      <c r="N42" s="516"/>
      <c r="O42" s="516"/>
      <c r="P42" s="516"/>
    </row>
    <row r="43" spans="2:23">
      <c r="E43" s="521"/>
      <c r="F43" s="521"/>
      <c r="G43" s="522"/>
      <c r="H43" s="522"/>
      <c r="I43" s="523"/>
      <c r="J43" s="523"/>
      <c r="K43" s="523"/>
      <c r="L43" s="524"/>
      <c r="N43" s="516"/>
      <c r="O43" s="516"/>
      <c r="P43" s="516"/>
    </row>
    <row r="44" spans="2:23">
      <c r="E44" s="521"/>
      <c r="F44" s="521"/>
      <c r="G44" s="522"/>
      <c r="H44" s="522"/>
      <c r="I44" s="523"/>
      <c r="J44" s="523"/>
      <c r="K44" s="523"/>
      <c r="L44" s="524"/>
      <c r="N44" s="516"/>
      <c r="O44" s="516"/>
      <c r="P44" s="516"/>
    </row>
    <row r="45" spans="2:23" s="513" customFormat="1" ht="13.5" customHeight="1">
      <c r="B45" s="511" t="s">
        <v>1049</v>
      </c>
      <c r="C45" s="512" t="s">
        <v>1050</v>
      </c>
      <c r="N45" s="506"/>
      <c r="O45" s="506"/>
      <c r="P45" s="506"/>
      <c r="Q45" s="506"/>
      <c r="R45" s="506"/>
      <c r="S45" s="506"/>
      <c r="T45" s="506"/>
      <c r="U45" s="506"/>
      <c r="V45" s="506"/>
      <c r="W45" s="506"/>
    </row>
    <row r="46" spans="2:23">
      <c r="E46" s="521"/>
      <c r="F46" s="521"/>
      <c r="G46" s="522"/>
      <c r="H46" s="522"/>
      <c r="I46" s="523"/>
      <c r="J46" s="523"/>
      <c r="K46" s="523"/>
      <c r="L46" s="524"/>
      <c r="N46" s="516"/>
      <c r="O46" s="516"/>
      <c r="P46" s="516"/>
    </row>
    <row r="47" spans="2:23">
      <c r="D47" s="508" t="s">
        <v>32</v>
      </c>
      <c r="E47" s="526" t="s">
        <v>1051</v>
      </c>
      <c r="F47" s="521"/>
      <c r="G47" s="522"/>
      <c r="H47" s="522"/>
      <c r="I47" s="523"/>
      <c r="J47" s="523"/>
      <c r="K47" s="523"/>
      <c r="L47" s="524"/>
      <c r="N47" s="516"/>
      <c r="O47" s="516"/>
      <c r="P47" s="516"/>
    </row>
    <row r="48" spans="2:23">
      <c r="D48" s="532" t="s">
        <v>961</v>
      </c>
      <c r="E48" s="808">
        <v>1</v>
      </c>
      <c r="F48" s="521"/>
      <c r="G48" s="522"/>
      <c r="H48" s="522"/>
      <c r="I48" s="523"/>
      <c r="J48" s="523"/>
      <c r="K48" s="523"/>
      <c r="L48" s="524"/>
      <c r="N48" s="516"/>
      <c r="O48" s="516"/>
      <c r="P48" s="516"/>
    </row>
    <row r="49" spans="2:23">
      <c r="D49" s="532" t="s">
        <v>962</v>
      </c>
      <c r="E49" s="808">
        <v>1</v>
      </c>
      <c r="F49" s="521"/>
      <c r="G49" s="522"/>
      <c r="H49" s="522"/>
      <c r="I49" s="523"/>
      <c r="J49" s="523"/>
      <c r="K49" s="523"/>
      <c r="L49" s="524"/>
      <c r="N49" s="516"/>
      <c r="O49" s="516"/>
      <c r="P49" s="516"/>
    </row>
    <row r="50" spans="2:23">
      <c r="D50" s="532" t="s">
        <v>963</v>
      </c>
      <c r="E50" s="808">
        <v>1</v>
      </c>
      <c r="F50" s="521"/>
      <c r="G50" s="522"/>
      <c r="H50" s="522"/>
      <c r="I50" s="523"/>
      <c r="J50" s="523"/>
      <c r="K50" s="523"/>
      <c r="L50" s="524"/>
      <c r="N50" s="516"/>
      <c r="O50" s="516"/>
      <c r="P50" s="516"/>
    </row>
    <row r="51" spans="2:23">
      <c r="D51" s="532" t="s">
        <v>964</v>
      </c>
      <c r="E51" s="808">
        <v>1</v>
      </c>
      <c r="F51" s="521"/>
      <c r="G51" s="522"/>
      <c r="H51" s="522"/>
      <c r="I51" s="523"/>
      <c r="J51" s="523"/>
      <c r="K51" s="523"/>
      <c r="L51" s="524"/>
      <c r="N51" s="516"/>
      <c r="O51" s="516"/>
      <c r="P51" s="516"/>
    </row>
    <row r="52" spans="2:23">
      <c r="D52" s="532" t="s">
        <v>965</v>
      </c>
      <c r="E52" s="808">
        <v>1</v>
      </c>
      <c r="F52" s="521"/>
      <c r="G52" s="522"/>
      <c r="H52" s="522"/>
      <c r="I52" s="523"/>
      <c r="J52" s="523"/>
      <c r="K52" s="523"/>
      <c r="L52" s="524"/>
      <c r="N52" s="516"/>
      <c r="O52" s="516"/>
      <c r="P52" s="516"/>
    </row>
    <row r="53" spans="2:23">
      <c r="D53" s="532" t="s">
        <v>966</v>
      </c>
      <c r="E53" s="808">
        <v>1</v>
      </c>
      <c r="F53" s="521"/>
      <c r="G53" s="522"/>
      <c r="H53" s="522"/>
      <c r="I53" s="523"/>
      <c r="J53" s="523"/>
      <c r="K53" s="523"/>
      <c r="L53" s="524"/>
      <c r="N53" s="516"/>
      <c r="O53" s="516"/>
      <c r="P53" s="516"/>
    </row>
    <row r="54" spans="2:23">
      <c r="E54" s="521"/>
      <c r="F54" s="521"/>
      <c r="G54" s="522"/>
      <c r="H54" s="522"/>
      <c r="I54" s="523"/>
      <c r="J54" s="523"/>
      <c r="K54" s="523"/>
      <c r="L54" s="524"/>
      <c r="N54" s="516"/>
      <c r="O54" s="516"/>
      <c r="P54" s="516"/>
    </row>
    <row r="55" spans="2:23" s="513" customFormat="1" ht="13.5" customHeight="1">
      <c r="B55" s="511" t="s">
        <v>1052</v>
      </c>
      <c r="C55" s="512" t="s">
        <v>1053</v>
      </c>
      <c r="N55" s="506"/>
      <c r="O55" s="506"/>
      <c r="P55" s="506"/>
      <c r="Q55" s="506"/>
      <c r="R55" s="506"/>
      <c r="S55" s="506"/>
      <c r="T55" s="506"/>
      <c r="U55" s="506"/>
      <c r="V55" s="506"/>
      <c r="W55" s="506"/>
    </row>
    <row r="56" spans="2:23">
      <c r="D56" s="472"/>
      <c r="E56" s="521"/>
      <c r="F56" s="521"/>
      <c r="G56" s="522"/>
      <c r="H56" s="522"/>
      <c r="I56" s="523"/>
      <c r="J56" s="523"/>
      <c r="K56" s="523"/>
      <c r="L56" s="524"/>
      <c r="N56" s="516"/>
      <c r="O56" s="516"/>
      <c r="P56" s="516"/>
    </row>
    <row r="57" spans="2:23">
      <c r="D57" s="518" t="s">
        <v>1025</v>
      </c>
      <c r="E57" s="519">
        <f>7*12</f>
        <v>84</v>
      </c>
      <c r="F57" s="521"/>
      <c r="G57" s="522"/>
      <c r="H57" s="522"/>
      <c r="I57" s="523"/>
      <c r="J57" s="523"/>
      <c r="K57" s="523"/>
      <c r="L57" s="524"/>
      <c r="N57" s="516"/>
      <c r="O57" s="516"/>
      <c r="P57" s="516"/>
    </row>
    <row r="58" spans="2:23">
      <c r="D58" s="472"/>
      <c r="E58" s="521"/>
      <c r="F58" s="521"/>
      <c r="G58" s="522"/>
      <c r="H58" s="522"/>
      <c r="I58" s="523"/>
      <c r="J58" s="523"/>
      <c r="K58" s="523"/>
      <c r="L58" s="524"/>
      <c r="N58" s="516"/>
      <c r="O58" s="516"/>
      <c r="P58" s="516"/>
    </row>
    <row r="59" spans="2:23">
      <c r="D59" s="463" t="s">
        <v>1054</v>
      </c>
      <c r="E59" s="809">
        <v>10000000</v>
      </c>
      <c r="F59" s="521"/>
      <c r="G59" s="522"/>
      <c r="H59" s="522"/>
      <c r="I59" s="523"/>
      <c r="J59" s="523"/>
      <c r="K59" s="523"/>
      <c r="L59" s="524"/>
      <c r="N59" s="516"/>
      <c r="O59" s="516"/>
      <c r="P59" s="516"/>
    </row>
    <row r="60" spans="2:23">
      <c r="D60" s="472"/>
      <c r="E60" s="521"/>
      <c r="F60" s="521"/>
      <c r="G60" s="522"/>
      <c r="H60" s="522"/>
      <c r="I60" s="523"/>
      <c r="J60" s="523"/>
      <c r="K60" s="523"/>
      <c r="L60" s="524"/>
      <c r="N60" s="516"/>
      <c r="O60" s="516"/>
      <c r="P60" s="516"/>
    </row>
    <row r="61" spans="2:23">
      <c r="D61" s="472"/>
      <c r="E61" s="521"/>
      <c r="F61" s="521"/>
      <c r="G61" s="522"/>
      <c r="H61" s="522"/>
      <c r="I61" s="523"/>
      <c r="J61" s="523"/>
      <c r="K61" s="523"/>
      <c r="L61" s="524"/>
      <c r="N61" s="516"/>
      <c r="O61" s="516"/>
      <c r="P61" s="516"/>
    </row>
    <row r="62" spans="2:23">
      <c r="D62" s="472"/>
      <c r="E62" s="521"/>
      <c r="F62" s="521"/>
      <c r="G62" s="522"/>
      <c r="H62" s="522"/>
      <c r="I62" s="523"/>
      <c r="J62" s="523"/>
      <c r="K62" s="523"/>
      <c r="L62" s="524"/>
      <c r="N62" s="516"/>
      <c r="O62" s="516"/>
      <c r="P62" s="516"/>
    </row>
    <row r="63" spans="2:23" s="513" customFormat="1">
      <c r="B63" s="511" t="s">
        <v>1055</v>
      </c>
      <c r="C63" s="512"/>
    </row>
    <row r="64" spans="2:23"/>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sheetData>
  <pageMargins left="0.75" right="0.75" top="1" bottom="1" header="0.5" footer="0.5"/>
  <pageSetup paperSize="9" scale="28" orientation="portrait" horizontalDpi="300" verticalDpi="30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B1:X820"/>
  <sheetViews>
    <sheetView topLeftCell="A148" workbookViewId="0">
      <selection activeCell="D53" sqref="D53"/>
    </sheetView>
  </sheetViews>
  <sheetFormatPr defaultColWidth="10" defaultRowHeight="13.8" zeroHeight="1"/>
  <cols>
    <col min="1" max="1" width="2.6640625" style="533" customWidth="1"/>
    <col min="2" max="2" width="3.33203125" style="533" customWidth="1"/>
    <col min="3" max="3" width="2.44140625" style="533" customWidth="1"/>
    <col min="4" max="4" width="79" style="533" customWidth="1"/>
    <col min="5" max="5" width="17.44140625" style="533" customWidth="1"/>
    <col min="6" max="7" width="19" style="533" bestFit="1" customWidth="1"/>
    <col min="8" max="8" width="19" style="533" customWidth="1"/>
    <col min="9" max="9" width="17.33203125" style="533" bestFit="1" customWidth="1"/>
    <col min="10" max="10" width="23.44140625" style="533" customWidth="1"/>
    <col min="11" max="11" width="28.5546875" style="533" customWidth="1"/>
    <col min="12" max="12" width="25" style="533" bestFit="1" customWidth="1"/>
    <col min="13" max="13" width="16.6640625" style="533" customWidth="1"/>
    <col min="14" max="14" width="19" style="533" bestFit="1" customWidth="1"/>
    <col min="15" max="15" width="25" style="533" customWidth="1"/>
    <col min="16" max="16" width="13.44140625" style="533" customWidth="1"/>
    <col min="17" max="17" width="16" style="533" customWidth="1"/>
    <col min="18" max="19" width="19" style="533" customWidth="1"/>
    <col min="20" max="20" width="16.5546875" style="533" customWidth="1"/>
    <col min="21" max="24" width="10" style="533" customWidth="1"/>
    <col min="25" max="16384" width="10" style="533"/>
  </cols>
  <sheetData>
    <row r="1" spans="2:24">
      <c r="D1" s="534"/>
    </row>
    <row r="2" spans="2:24">
      <c r="D2" s="535"/>
      <c r="E2" s="535" t="str">
        <f ca="1">UPPER(MID(CELL("filename",A1),FIND("[",CELL("filename",A1))+1,FIND("]",CELL("filename",A1))-FIND("[",CELL("filename",A1))-5))</f>
        <v>LPM MB15 - VT TRADITIONEEL 20170201 OBV ULL OPENBAAR.</v>
      </c>
    </row>
    <row r="3" spans="2:24">
      <c r="D3" s="534"/>
      <c r="E3" s="533" t="str">
        <f ca="1">UPPER(MID(CELL("filename",A2),FIND("]",CELL("filename",A2))+1,LEN(CELL("filename",A2))))</f>
        <v>COLLOCATIE</v>
      </c>
    </row>
    <row r="4" spans="2:24" s="536" customFormat="1">
      <c r="D4" s="537"/>
    </row>
    <row r="5" spans="2:24"/>
    <row r="6" spans="2:24">
      <c r="D6" s="535"/>
    </row>
    <row r="7" spans="2:24" s="540" customFormat="1">
      <c r="B7" s="538" t="s">
        <v>1022</v>
      </c>
      <c r="C7" s="539" t="s">
        <v>1056</v>
      </c>
      <c r="O7" s="533"/>
      <c r="P7" s="533"/>
      <c r="Q7" s="533"/>
      <c r="R7" s="533"/>
      <c r="S7" s="533"/>
      <c r="T7" s="533"/>
      <c r="U7" s="533"/>
      <c r="V7" s="533"/>
      <c r="W7" s="533"/>
      <c r="X7" s="533"/>
    </row>
    <row r="8" spans="2:24" s="543" customFormat="1">
      <c r="B8" s="541"/>
      <c r="C8" s="542"/>
      <c r="O8" s="533"/>
      <c r="P8" s="533"/>
      <c r="Q8" s="533"/>
      <c r="R8" s="533"/>
      <c r="S8" s="533"/>
      <c r="T8" s="533"/>
      <c r="U8" s="533"/>
      <c r="V8" s="533"/>
      <c r="W8" s="533"/>
      <c r="X8" s="533"/>
    </row>
    <row r="9" spans="2:24" s="543" customFormat="1">
      <c r="B9" s="541"/>
      <c r="C9" s="542"/>
      <c r="D9" s="544" t="s">
        <v>1057</v>
      </c>
      <c r="E9" s="540"/>
      <c r="F9" s="545"/>
      <c r="O9" s="533"/>
      <c r="P9" s="533"/>
      <c r="Q9" s="533"/>
      <c r="R9" s="533"/>
      <c r="S9" s="533"/>
      <c r="T9" s="533"/>
      <c r="U9" s="533"/>
      <c r="V9" s="533"/>
      <c r="W9" s="533"/>
      <c r="X9" s="533"/>
    </row>
    <row r="10" spans="2:24">
      <c r="D10" s="546" t="s">
        <v>1058</v>
      </c>
      <c r="E10" s="547">
        <f>5789.13</f>
        <v>5789.13</v>
      </c>
      <c r="F10" s="548" t="s">
        <v>127</v>
      </c>
      <c r="G10" s="549"/>
      <c r="H10" s="549"/>
      <c r="I10" s="549"/>
      <c r="J10" s="549"/>
      <c r="K10" s="549"/>
      <c r="L10" s="549"/>
    </row>
    <row r="11" spans="2:24">
      <c r="D11" s="550" t="s">
        <v>1058</v>
      </c>
      <c r="E11" s="547">
        <v>962.19</v>
      </c>
      <c r="F11" s="551" t="s">
        <v>1059</v>
      </c>
      <c r="G11" s="549"/>
      <c r="H11" s="549"/>
      <c r="I11" s="549"/>
      <c r="J11" s="549"/>
      <c r="K11" s="549"/>
      <c r="L11" s="549"/>
    </row>
    <row r="12" spans="2:24">
      <c r="D12" s="550" t="s">
        <v>1060</v>
      </c>
      <c r="E12" s="547">
        <v>5874.35</v>
      </c>
      <c r="F12" s="551" t="s">
        <v>127</v>
      </c>
      <c r="G12" s="549"/>
      <c r="H12" s="549"/>
      <c r="I12" s="549"/>
      <c r="J12" s="549"/>
      <c r="K12" s="549"/>
      <c r="L12" s="549"/>
    </row>
    <row r="13" spans="2:24">
      <c r="D13" s="550" t="s">
        <v>1061</v>
      </c>
      <c r="E13" s="547">
        <v>2563.37</v>
      </c>
      <c r="F13" s="551" t="s">
        <v>127</v>
      </c>
      <c r="G13" s="549"/>
      <c r="H13" s="549"/>
      <c r="I13" s="549"/>
      <c r="J13" s="549"/>
      <c r="K13" s="549"/>
      <c r="L13" s="549"/>
    </row>
    <row r="14" spans="2:24">
      <c r="D14" s="550" t="s">
        <v>1062</v>
      </c>
      <c r="E14" s="547">
        <v>2209.8200000000002</v>
      </c>
      <c r="F14" s="551" t="s">
        <v>127</v>
      </c>
      <c r="G14" s="549"/>
      <c r="H14" s="549"/>
      <c r="I14" s="549"/>
      <c r="J14" s="549"/>
      <c r="K14" s="549"/>
      <c r="L14" s="549"/>
    </row>
    <row r="15" spans="2:24">
      <c r="D15" s="550" t="s">
        <v>1063</v>
      </c>
      <c r="E15" s="547">
        <v>7419.71</v>
      </c>
      <c r="F15" s="551" t="s">
        <v>127</v>
      </c>
      <c r="G15" s="549"/>
      <c r="H15" s="549"/>
      <c r="I15" s="549"/>
      <c r="J15" s="549"/>
      <c r="K15" s="549"/>
      <c r="L15" s="549"/>
    </row>
    <row r="16" spans="2:24">
      <c r="D16" s="550" t="s">
        <v>1064</v>
      </c>
      <c r="E16" s="547">
        <v>6576.53</v>
      </c>
      <c r="F16" s="551" t="s">
        <v>127</v>
      </c>
      <c r="G16" s="549"/>
      <c r="H16" s="549"/>
      <c r="I16" s="549"/>
      <c r="J16" s="549"/>
      <c r="K16" s="549"/>
      <c r="L16" s="549"/>
    </row>
    <row r="17" spans="4:12">
      <c r="D17" s="550" t="s">
        <v>1063</v>
      </c>
      <c r="E17" s="547">
        <v>0.13</v>
      </c>
      <c r="F17" s="551" t="s">
        <v>1065</v>
      </c>
      <c r="G17" s="549"/>
      <c r="H17" s="549"/>
      <c r="I17" s="549"/>
      <c r="J17" s="549"/>
      <c r="K17" s="549"/>
      <c r="L17" s="549"/>
    </row>
    <row r="18" spans="4:12">
      <c r="D18" s="550" t="s">
        <v>1066</v>
      </c>
      <c r="E18" s="547">
        <v>3.8</v>
      </c>
      <c r="F18" s="551" t="s">
        <v>1067</v>
      </c>
      <c r="G18" s="549"/>
      <c r="H18" s="549"/>
      <c r="I18" s="549"/>
      <c r="J18" s="549"/>
      <c r="K18" s="549"/>
      <c r="L18" s="549"/>
    </row>
    <row r="19" spans="4:12">
      <c r="D19" s="552" t="s">
        <v>1068</v>
      </c>
      <c r="E19" s="547">
        <v>2.95</v>
      </c>
      <c r="F19" s="553" t="s">
        <v>1067</v>
      </c>
      <c r="G19" s="549"/>
      <c r="H19" s="549"/>
      <c r="I19" s="549"/>
      <c r="J19" s="549"/>
      <c r="K19" s="549"/>
      <c r="L19" s="549"/>
    </row>
    <row r="20" spans="4:12">
      <c r="D20" s="549"/>
      <c r="E20" s="549"/>
      <c r="F20" s="549"/>
      <c r="G20" s="549"/>
      <c r="H20" s="549"/>
      <c r="I20" s="549"/>
      <c r="J20" s="549"/>
      <c r="K20" s="549"/>
      <c r="L20" s="549"/>
    </row>
    <row r="21" spans="4:12">
      <c r="D21" s="554" t="s">
        <v>1069</v>
      </c>
      <c r="E21" s="555"/>
      <c r="F21" s="556"/>
      <c r="G21" s="549"/>
      <c r="H21" s="549"/>
      <c r="I21" s="549"/>
      <c r="J21" s="549"/>
      <c r="K21" s="549"/>
      <c r="L21" s="549"/>
    </row>
    <row r="22" spans="4:12">
      <c r="D22" s="546" t="s">
        <v>1058</v>
      </c>
      <c r="E22" s="547">
        <v>5789.48</v>
      </c>
      <c r="F22" s="548" t="s">
        <v>127</v>
      </c>
      <c r="G22" s="549"/>
      <c r="H22" s="549"/>
      <c r="I22" s="549"/>
      <c r="J22" s="549"/>
      <c r="K22" s="549"/>
      <c r="L22" s="549"/>
    </row>
    <row r="23" spans="4:12">
      <c r="D23" s="550" t="s">
        <v>1058</v>
      </c>
      <c r="E23" s="547">
        <f>962.19</f>
        <v>962.19</v>
      </c>
      <c r="F23" s="551" t="s">
        <v>1059</v>
      </c>
      <c r="G23" s="549"/>
      <c r="H23" s="549"/>
      <c r="I23" s="549"/>
      <c r="J23" s="549"/>
      <c r="K23" s="549"/>
      <c r="L23" s="549"/>
    </row>
    <row r="24" spans="4:12">
      <c r="D24" s="550" t="s">
        <v>1062</v>
      </c>
      <c r="E24" s="547">
        <v>2209.98</v>
      </c>
      <c r="F24" s="551" t="s">
        <v>127</v>
      </c>
      <c r="G24" s="549"/>
      <c r="H24" s="549"/>
      <c r="I24" s="549"/>
      <c r="J24" s="549"/>
      <c r="K24" s="549"/>
      <c r="L24" s="549"/>
    </row>
    <row r="25" spans="4:12">
      <c r="D25" s="550" t="s">
        <v>1063</v>
      </c>
      <c r="E25" s="547">
        <v>7419.37</v>
      </c>
      <c r="F25" s="551" t="s">
        <v>127</v>
      </c>
      <c r="G25" s="549"/>
      <c r="H25" s="549"/>
      <c r="I25" s="549"/>
      <c r="J25" s="549"/>
      <c r="K25" s="549"/>
      <c r="L25" s="549"/>
    </row>
    <row r="26" spans="4:12">
      <c r="D26" s="550" t="s">
        <v>1070</v>
      </c>
      <c r="E26" s="547">
        <v>4027.69</v>
      </c>
      <c r="F26" s="551" t="s">
        <v>127</v>
      </c>
      <c r="G26" s="549"/>
      <c r="H26" s="549"/>
      <c r="I26" s="549"/>
      <c r="J26" s="549"/>
      <c r="K26" s="549"/>
      <c r="L26" s="549"/>
    </row>
    <row r="27" spans="4:12">
      <c r="D27" s="550" t="s">
        <v>1071</v>
      </c>
      <c r="E27" s="547">
        <v>224</v>
      </c>
      <c r="F27" s="551" t="s">
        <v>127</v>
      </c>
      <c r="G27" s="549"/>
      <c r="H27" s="549"/>
      <c r="I27" s="549"/>
      <c r="J27" s="549"/>
      <c r="K27" s="549"/>
      <c r="L27" s="549"/>
    </row>
    <row r="28" spans="4:12">
      <c r="D28" s="550" t="s">
        <v>1071</v>
      </c>
      <c r="E28" s="547">
        <f>33.23</f>
        <v>33.229999999999997</v>
      </c>
      <c r="F28" s="551" t="s">
        <v>1072</v>
      </c>
      <c r="G28" s="549"/>
      <c r="H28" s="549"/>
      <c r="I28" s="549"/>
      <c r="J28" s="549"/>
      <c r="K28" s="549"/>
      <c r="L28" s="549"/>
    </row>
    <row r="29" spans="4:12">
      <c r="D29" s="550" t="s">
        <v>1063</v>
      </c>
      <c r="E29" s="547">
        <v>0.13</v>
      </c>
      <c r="F29" s="551" t="s">
        <v>1065</v>
      </c>
      <c r="G29" s="549"/>
      <c r="H29" s="549"/>
      <c r="I29" s="549"/>
      <c r="J29" s="549"/>
      <c r="K29" s="549"/>
      <c r="L29" s="549"/>
    </row>
    <row r="30" spans="4:12">
      <c r="D30" s="552" t="s">
        <v>1073</v>
      </c>
      <c r="E30" s="547">
        <v>0.09</v>
      </c>
      <c r="F30" s="553" t="s">
        <v>1065</v>
      </c>
      <c r="G30" s="549"/>
      <c r="H30" s="549"/>
      <c r="I30" s="549"/>
      <c r="J30" s="549"/>
      <c r="K30" s="549"/>
      <c r="L30" s="549"/>
    </row>
    <row r="31" spans="4:12">
      <c r="D31" s="549"/>
      <c r="E31" s="549"/>
      <c r="F31" s="549"/>
      <c r="G31" s="549"/>
      <c r="H31" s="549"/>
      <c r="I31" s="549"/>
      <c r="J31" s="549"/>
      <c r="K31" s="549"/>
      <c r="L31" s="549"/>
    </row>
    <row r="32" spans="4:12">
      <c r="D32" s="554" t="s">
        <v>1074</v>
      </c>
      <c r="E32" s="555"/>
      <c r="F32" s="556"/>
      <c r="G32" s="549"/>
      <c r="H32" s="549"/>
      <c r="I32" s="549"/>
      <c r="J32" s="549"/>
      <c r="K32" s="549"/>
      <c r="L32" s="549"/>
    </row>
    <row r="33" spans="4:12">
      <c r="D33" s="724" t="s">
        <v>1137</v>
      </c>
      <c r="E33" s="810">
        <v>1</v>
      </c>
      <c r="F33" s="548"/>
      <c r="G33" s="549"/>
      <c r="H33" s="549"/>
      <c r="I33" s="549"/>
      <c r="J33" s="549"/>
      <c r="K33" s="549"/>
      <c r="L33" s="549"/>
    </row>
    <row r="34" spans="4:12">
      <c r="D34" s="725" t="s">
        <v>1058</v>
      </c>
      <c r="E34" s="811">
        <f>$E$33*'EDC minus lijst ULL'!$I$114/2</f>
        <v>0.5</v>
      </c>
      <c r="F34" s="548"/>
      <c r="G34" s="549"/>
      <c r="H34" s="549"/>
      <c r="I34" s="549"/>
      <c r="J34" s="549"/>
      <c r="K34" s="549"/>
      <c r="L34" s="549"/>
    </row>
    <row r="35" spans="4:12">
      <c r="D35" s="725" t="s">
        <v>1062</v>
      </c>
      <c r="E35" s="811">
        <f>$E$33*'EDC minus lijst ULL'!$I$114/2</f>
        <v>0.5</v>
      </c>
      <c r="F35" s="551"/>
      <c r="G35" s="549"/>
      <c r="H35" s="549"/>
      <c r="I35" s="549"/>
      <c r="J35" s="549"/>
      <c r="K35" s="549"/>
      <c r="L35" s="549"/>
    </row>
    <row r="36" spans="4:12">
      <c r="D36" s="725" t="s">
        <v>1063</v>
      </c>
      <c r="E36" s="811">
        <f>$E$33*'EDC minus lijst ULL'!$I$114/2</f>
        <v>0.5</v>
      </c>
      <c r="F36" s="551"/>
      <c r="G36" s="549"/>
      <c r="H36" s="549"/>
      <c r="I36" s="549"/>
      <c r="J36" s="549"/>
      <c r="K36" s="549"/>
      <c r="L36" s="549"/>
    </row>
    <row r="37" spans="4:12">
      <c r="D37" s="725" t="s">
        <v>1070</v>
      </c>
      <c r="E37" s="812">
        <v>1</v>
      </c>
      <c r="F37" s="551"/>
      <c r="G37" s="549"/>
      <c r="H37" s="549"/>
      <c r="I37" s="549"/>
      <c r="J37" s="549"/>
      <c r="K37" s="549"/>
      <c r="L37" s="549"/>
    </row>
    <row r="38" spans="4:12">
      <c r="D38" s="725" t="s">
        <v>1071</v>
      </c>
      <c r="E38" s="811">
        <f>$E$33*'EDC minus lijst ULL'!$I$114/2</f>
        <v>0.5</v>
      </c>
      <c r="F38" s="551"/>
      <c r="G38" s="549"/>
      <c r="H38" s="549"/>
      <c r="I38" s="549"/>
      <c r="J38" s="549"/>
      <c r="K38" s="549"/>
      <c r="L38" s="549"/>
    </row>
    <row r="39" spans="4:12">
      <c r="D39" s="654" t="s">
        <v>1075</v>
      </c>
      <c r="E39" s="557">
        <f>$E$33*'EDC minus lijst ULL'!$J$114</f>
        <v>1</v>
      </c>
      <c r="F39" s="553"/>
      <c r="G39" s="549"/>
      <c r="H39" s="549"/>
      <c r="I39" s="549"/>
      <c r="J39" s="549"/>
      <c r="K39" s="549"/>
      <c r="L39" s="549"/>
    </row>
    <row r="40" spans="4:12">
      <c r="D40" s="549"/>
      <c r="E40" s="549"/>
      <c r="F40" s="549"/>
      <c r="G40" s="549"/>
      <c r="H40" s="549"/>
      <c r="I40" s="549"/>
      <c r="J40" s="549"/>
      <c r="K40" s="549"/>
      <c r="L40" s="549"/>
    </row>
    <row r="41" spans="4:12">
      <c r="D41" s="546" t="s">
        <v>1076</v>
      </c>
      <c r="E41" s="813">
        <v>50</v>
      </c>
      <c r="F41" s="548" t="s">
        <v>1046</v>
      </c>
      <c r="G41" s="549"/>
      <c r="H41" s="549"/>
      <c r="I41" s="549"/>
      <c r="J41" s="549"/>
      <c r="K41" s="549"/>
      <c r="L41" s="549"/>
    </row>
    <row r="42" spans="4:12">
      <c r="D42" s="552" t="s">
        <v>1077</v>
      </c>
      <c r="E42" s="813">
        <v>50</v>
      </c>
      <c r="F42" s="553" t="s">
        <v>1046</v>
      </c>
      <c r="G42" s="549"/>
      <c r="H42" s="549"/>
      <c r="I42" s="549"/>
      <c r="J42" s="549"/>
      <c r="K42" s="549"/>
      <c r="L42" s="549"/>
    </row>
    <row r="43" spans="4:12">
      <c r="D43" s="549"/>
      <c r="E43" s="814"/>
      <c r="F43" s="549"/>
      <c r="G43" s="549"/>
      <c r="H43" s="549"/>
      <c r="I43" s="549"/>
      <c r="J43" s="549"/>
      <c r="K43" s="549"/>
      <c r="L43" s="549"/>
    </row>
    <row r="44" spans="4:12">
      <c r="D44" s="546" t="s">
        <v>1078</v>
      </c>
      <c r="E44" s="815">
        <v>1</v>
      </c>
      <c r="F44" s="548"/>
      <c r="G44" s="549"/>
      <c r="H44" s="549"/>
      <c r="I44" s="549"/>
      <c r="J44" s="549"/>
      <c r="K44" s="549"/>
      <c r="L44" s="549"/>
    </row>
    <row r="45" spans="4:12">
      <c r="D45" s="552" t="s">
        <v>1079</v>
      </c>
      <c r="E45" s="815">
        <v>1</v>
      </c>
      <c r="F45" s="553"/>
      <c r="G45" s="549"/>
      <c r="H45" s="549"/>
      <c r="I45" s="549"/>
      <c r="J45" s="549"/>
      <c r="K45" s="549"/>
      <c r="L45" s="549"/>
    </row>
    <row r="46" spans="4:12">
      <c r="D46" s="549"/>
      <c r="E46" s="814"/>
      <c r="F46" s="549"/>
      <c r="G46" s="549"/>
      <c r="H46" s="549"/>
      <c r="I46" s="549"/>
      <c r="J46" s="549"/>
      <c r="K46" s="549"/>
      <c r="L46" s="549"/>
    </row>
    <row r="47" spans="4:12">
      <c r="D47" s="546" t="s">
        <v>1080</v>
      </c>
      <c r="E47" s="813">
        <v>10000</v>
      </c>
      <c r="F47" s="548"/>
      <c r="G47" s="549"/>
      <c r="H47" s="549"/>
      <c r="I47" s="549"/>
      <c r="J47" s="549"/>
      <c r="K47" s="549"/>
      <c r="L47" s="549"/>
    </row>
    <row r="48" spans="4:12">
      <c r="D48" s="550" t="s">
        <v>1081</v>
      </c>
      <c r="E48" s="813">
        <v>1000</v>
      </c>
      <c r="F48" s="551"/>
      <c r="G48" s="549"/>
      <c r="H48" s="549"/>
      <c r="I48" s="549"/>
      <c r="J48" s="549"/>
      <c r="K48" s="549"/>
      <c r="L48" s="549"/>
    </row>
    <row r="49" spans="2:24">
      <c r="D49" s="550" t="s">
        <v>1082</v>
      </c>
      <c r="E49" s="557">
        <f>'Parameters ULL'!$E$59</f>
        <v>10000000</v>
      </c>
      <c r="F49" s="551"/>
      <c r="G49" s="549"/>
      <c r="H49" s="549"/>
      <c r="I49" s="549"/>
      <c r="J49" s="549"/>
      <c r="K49" s="549"/>
      <c r="L49" s="549"/>
    </row>
    <row r="50" spans="2:24">
      <c r="D50" s="552" t="s">
        <v>1083</v>
      </c>
      <c r="E50" s="813">
        <v>10000000</v>
      </c>
      <c r="F50" s="553" t="s">
        <v>1084</v>
      </c>
      <c r="G50" s="549"/>
      <c r="H50" s="549"/>
      <c r="I50" s="549"/>
      <c r="J50" s="549"/>
      <c r="K50" s="549"/>
      <c r="L50" s="549"/>
    </row>
    <row r="51" spans="2:24">
      <c r="D51" s="549"/>
      <c r="E51" s="549"/>
      <c r="F51" s="549"/>
      <c r="G51" s="549"/>
      <c r="H51" s="549"/>
      <c r="I51" s="549"/>
      <c r="J51" s="549"/>
      <c r="K51" s="549"/>
      <c r="L51" s="549"/>
    </row>
    <row r="52" spans="2:24"/>
    <row r="53" spans="2:24" s="540" customFormat="1">
      <c r="B53" s="538" t="s">
        <v>1085</v>
      </c>
      <c r="C53" s="539" t="s">
        <v>1086</v>
      </c>
      <c r="O53" s="533"/>
      <c r="P53" s="533"/>
      <c r="Q53" s="533"/>
      <c r="R53" s="533"/>
      <c r="S53" s="533"/>
      <c r="T53" s="533"/>
      <c r="U53" s="533"/>
      <c r="V53" s="533"/>
      <c r="W53" s="533"/>
      <c r="X53" s="533"/>
    </row>
    <row r="54" spans="2:24"/>
    <row r="55" spans="2:24" s="699" customFormat="1" ht="15.6">
      <c r="D55" s="700" t="s">
        <v>1138</v>
      </c>
    </row>
    <row r="56" spans="2:24" s="699" customFormat="1"/>
    <row r="57" spans="2:24" s="699" customFormat="1">
      <c r="E57" s="701" t="s">
        <v>1088</v>
      </c>
      <c r="F57" s="701" t="s">
        <v>5</v>
      </c>
      <c r="G57" s="701" t="s">
        <v>1089</v>
      </c>
      <c r="H57" s="701" t="s">
        <v>1090</v>
      </c>
      <c r="I57" s="701" t="s">
        <v>1091</v>
      </c>
      <c r="J57" s="701" t="s">
        <v>1092</v>
      </c>
    </row>
    <row r="58" spans="2:24" s="699" customFormat="1">
      <c r="D58" s="701" t="s">
        <v>1058</v>
      </c>
      <c r="E58" s="702">
        <f>'EDC minus lijst ULL'!$I$3/2</f>
        <v>5.0000000000000001E-3</v>
      </c>
      <c r="F58" s="703">
        <f>$E$10</f>
        <v>5789.13</v>
      </c>
      <c r="G58" s="704">
        <f>$E$11</f>
        <v>962.19</v>
      </c>
      <c r="H58" s="704"/>
      <c r="I58" s="705">
        <f>$E$41</f>
        <v>50</v>
      </c>
      <c r="J58" s="706">
        <f>E58*(F58/(12*I58)+G58/12)</f>
        <v>0.44915525000000001</v>
      </c>
    </row>
    <row r="59" spans="2:24" s="699" customFormat="1">
      <c r="D59" s="701" t="s">
        <v>1075</v>
      </c>
      <c r="E59" s="707">
        <v>1</v>
      </c>
      <c r="F59" s="703"/>
      <c r="G59" s="704">
        <f>$E$18</f>
        <v>3.8</v>
      </c>
      <c r="H59" s="704"/>
      <c r="I59" s="705"/>
      <c r="J59" s="706">
        <f>E59*G59/12</f>
        <v>0.31666666666666665</v>
      </c>
    </row>
    <row r="60" spans="2:24" s="699" customFormat="1">
      <c r="D60" s="701" t="s">
        <v>1093</v>
      </c>
      <c r="E60" s="707">
        <v>1</v>
      </c>
      <c r="F60" s="703"/>
      <c r="G60" s="704">
        <f>$E$19</f>
        <v>2.95</v>
      </c>
      <c r="H60" s="704"/>
      <c r="I60" s="705"/>
      <c r="J60" s="706">
        <f>E60*G60/12</f>
        <v>0.24583333333333335</v>
      </c>
    </row>
    <row r="61" spans="2:24" s="699" customFormat="1">
      <c r="D61" s="701" t="s">
        <v>1094</v>
      </c>
      <c r="E61" s="708">
        <f>1/(600*$E$44)</f>
        <v>1.6666666666666668E-3</v>
      </c>
      <c r="F61" s="703">
        <f>$E$12</f>
        <v>5874.35</v>
      </c>
      <c r="G61" s="704"/>
      <c r="H61" s="704"/>
      <c r="I61" s="705">
        <f>$E$41</f>
        <v>50</v>
      </c>
      <c r="J61" s="706">
        <f>E61*(F61/(12*I61)+G61/12)</f>
        <v>1.6317638888888892E-2</v>
      </c>
    </row>
    <row r="62" spans="2:24" s="699" customFormat="1">
      <c r="D62" s="701" t="s">
        <v>1061</v>
      </c>
      <c r="E62" s="708">
        <f>1/(1000*$E$45)</f>
        <v>1E-3</v>
      </c>
      <c r="F62" s="703">
        <f>$E$13</f>
        <v>2563.37</v>
      </c>
      <c r="G62" s="709"/>
      <c r="H62" s="709"/>
      <c r="I62" s="710">
        <f>$E$41</f>
        <v>50</v>
      </c>
      <c r="J62" s="706">
        <f>E62*(F62/(12*I62)+G62/12)</f>
        <v>4.2722833333333331E-3</v>
      </c>
    </row>
    <row r="63" spans="2:24" s="699" customFormat="1">
      <c r="D63" s="701" t="s">
        <v>1062</v>
      </c>
      <c r="E63" s="708">
        <f>$E$47/$E$50</f>
        <v>1E-3</v>
      </c>
      <c r="F63" s="703">
        <f>$E$14</f>
        <v>2209.8200000000002</v>
      </c>
      <c r="G63" s="709"/>
      <c r="H63" s="709"/>
      <c r="I63" s="710">
        <f>$E$42</f>
        <v>50</v>
      </c>
      <c r="J63" s="706">
        <f>E63*(F63/(12*I63)+G63/12)</f>
        <v>3.6830333333333341E-3</v>
      </c>
    </row>
    <row r="64" spans="2:24" s="699" customFormat="1">
      <c r="D64" s="701" t="s">
        <v>1063</v>
      </c>
      <c r="E64" s="708">
        <f t="shared" ref="E64:E65" si="0">$E$47/$E$50</f>
        <v>1E-3</v>
      </c>
      <c r="F64" s="703">
        <f>$E$15</f>
        <v>7419.71</v>
      </c>
      <c r="G64" s="709"/>
      <c r="H64" s="709"/>
      <c r="I64" s="710">
        <f>$E$42</f>
        <v>50</v>
      </c>
      <c r="J64" s="706">
        <f>E64*(F64/(12*I64)+G64/12)</f>
        <v>1.2366183333333334E-2</v>
      </c>
    </row>
    <row r="65" spans="4:11" s="699" customFormat="1">
      <c r="D65" s="711" t="s">
        <v>1064</v>
      </c>
      <c r="E65" s="712">
        <f t="shared" si="0"/>
        <v>1E-3</v>
      </c>
      <c r="F65" s="703">
        <f>$E$16</f>
        <v>6576.53</v>
      </c>
      <c r="G65" s="713"/>
      <c r="H65" s="713"/>
      <c r="I65" s="710">
        <f>$E$42</f>
        <v>50</v>
      </c>
      <c r="J65" s="706">
        <f>E65*(F65/(12*I65)+G65/12)</f>
        <v>1.0960883333333334E-2</v>
      </c>
    </row>
    <row r="66" spans="4:11" s="699" customFormat="1">
      <c r="D66" s="714"/>
      <c r="E66" s="715"/>
      <c r="F66" s="716"/>
      <c r="G66" s="716"/>
      <c r="H66" s="716"/>
      <c r="I66" s="716"/>
      <c r="J66" s="717"/>
    </row>
    <row r="67" spans="4:11" s="699" customFormat="1">
      <c r="D67" s="718" t="s">
        <v>908</v>
      </c>
      <c r="E67" s="719"/>
      <c r="F67" s="720"/>
      <c r="G67" s="721"/>
      <c r="H67" s="721"/>
      <c r="I67" s="722"/>
      <c r="J67" s="723">
        <f>SUM(J58:J66)</f>
        <v>1.0592552722222219</v>
      </c>
    </row>
    <row r="68" spans="4:11" s="655" customFormat="1"/>
    <row r="69" spans="4:11" s="655" customFormat="1"/>
    <row r="70" spans="4:11" ht="15.6">
      <c r="D70" s="558" t="s">
        <v>1087</v>
      </c>
    </row>
    <row r="71" spans="4:11"/>
    <row r="72" spans="4:11">
      <c r="E72" s="559" t="s">
        <v>1088</v>
      </c>
      <c r="F72" s="559" t="s">
        <v>5</v>
      </c>
      <c r="G72" s="559" t="s">
        <v>1089</v>
      </c>
      <c r="H72" s="559" t="s">
        <v>1090</v>
      </c>
      <c r="I72" s="559" t="s">
        <v>1091</v>
      </c>
      <c r="J72" s="559" t="s">
        <v>1092</v>
      </c>
    </row>
    <row r="73" spans="4:11">
      <c r="D73" s="559" t="s">
        <v>1058</v>
      </c>
      <c r="E73" s="567">
        <f>'EDC minus lijst ULL'!$I$6/2</f>
        <v>5.0000000000000001E-3</v>
      </c>
      <c r="F73" s="561">
        <f>$E$10</f>
        <v>5789.13</v>
      </c>
      <c r="G73" s="562">
        <f>$E$11</f>
        <v>962.19</v>
      </c>
      <c r="H73" s="562"/>
      <c r="I73" s="563">
        <f>$E$41</f>
        <v>50</v>
      </c>
      <c r="J73" s="564">
        <f>E73*(F73/(12*I73)+G73/12)</f>
        <v>0.44915525000000001</v>
      </c>
    </row>
    <row r="74" spans="4:11">
      <c r="D74" s="559" t="s">
        <v>1075</v>
      </c>
      <c r="E74" s="565">
        <v>1</v>
      </c>
      <c r="F74" s="561"/>
      <c r="G74" s="562">
        <f>$E$18</f>
        <v>3.8</v>
      </c>
      <c r="H74" s="562"/>
      <c r="I74" s="563"/>
      <c r="J74" s="564">
        <f>E74*G74/12</f>
        <v>0.31666666666666665</v>
      </c>
      <c r="K74" s="566"/>
    </row>
    <row r="75" spans="4:11">
      <c r="D75" s="559" t="s">
        <v>1093</v>
      </c>
      <c r="E75" s="565">
        <v>1</v>
      </c>
      <c r="F75" s="561"/>
      <c r="G75" s="562">
        <f>$E$19</f>
        <v>2.95</v>
      </c>
      <c r="H75" s="562"/>
      <c r="I75" s="563"/>
      <c r="J75" s="564">
        <f>E75*G75/12</f>
        <v>0.24583333333333335</v>
      </c>
      <c r="K75" s="566"/>
    </row>
    <row r="76" spans="4:11">
      <c r="D76" s="559" t="s">
        <v>1094</v>
      </c>
      <c r="E76" s="567">
        <f>1/(600*$E$44)</f>
        <v>1.6666666666666668E-3</v>
      </c>
      <c r="F76" s="561">
        <f>$E$12</f>
        <v>5874.35</v>
      </c>
      <c r="G76" s="562"/>
      <c r="H76" s="562"/>
      <c r="I76" s="563">
        <f>$E$41</f>
        <v>50</v>
      </c>
      <c r="J76" s="564">
        <f>E76*(F76/(12*I76)+G76/12)</f>
        <v>1.6317638888888892E-2</v>
      </c>
    </row>
    <row r="77" spans="4:11">
      <c r="D77" s="559" t="s">
        <v>1061</v>
      </c>
      <c r="E77" s="567">
        <f>1/(1000*$E$45)</f>
        <v>1E-3</v>
      </c>
      <c r="F77" s="561">
        <f>$E$13</f>
        <v>2563.37</v>
      </c>
      <c r="G77" s="568"/>
      <c r="H77" s="568"/>
      <c r="I77" s="569">
        <f>$E$41</f>
        <v>50</v>
      </c>
      <c r="J77" s="564">
        <f>E77*(F77/(12*I77)+G77/12)</f>
        <v>4.2722833333333331E-3</v>
      </c>
    </row>
    <row r="78" spans="4:11">
      <c r="D78" s="559" t="s">
        <v>1062</v>
      </c>
      <c r="E78" s="567">
        <f>$E$47/$E$50</f>
        <v>1E-3</v>
      </c>
      <c r="F78" s="561">
        <f>$E$14</f>
        <v>2209.8200000000002</v>
      </c>
      <c r="G78" s="568"/>
      <c r="H78" s="568"/>
      <c r="I78" s="569">
        <f>$E$42</f>
        <v>50</v>
      </c>
      <c r="J78" s="564">
        <f>E78*(F78/(12*I78)+G78/12)</f>
        <v>3.6830333333333341E-3</v>
      </c>
    </row>
    <row r="79" spans="4:11">
      <c r="D79" s="559" t="s">
        <v>1063</v>
      </c>
      <c r="E79" s="567">
        <f t="shared" ref="E79:E80" si="1">$E$47/$E$50</f>
        <v>1E-3</v>
      </c>
      <c r="F79" s="561">
        <f>$E$15</f>
        <v>7419.71</v>
      </c>
      <c r="G79" s="568"/>
      <c r="H79" s="568"/>
      <c r="I79" s="569">
        <f>$E$42</f>
        <v>50</v>
      </c>
      <c r="J79" s="564">
        <f>E79*(F79/(12*I79)+G79/12)</f>
        <v>1.2366183333333334E-2</v>
      </c>
    </row>
    <row r="80" spans="4:11">
      <c r="D80" s="570" t="s">
        <v>1064</v>
      </c>
      <c r="E80" s="571">
        <f t="shared" si="1"/>
        <v>1E-3</v>
      </c>
      <c r="F80" s="561">
        <f>$E$16</f>
        <v>6576.53</v>
      </c>
      <c r="G80" s="572"/>
      <c r="H80" s="572"/>
      <c r="I80" s="569">
        <f>$E$42</f>
        <v>50</v>
      </c>
      <c r="J80" s="564">
        <f>E80*(F80/(12*I80)+G80/12)</f>
        <v>1.0960883333333334E-2</v>
      </c>
    </row>
    <row r="81" spans="4:10">
      <c r="D81" s="573"/>
      <c r="E81" s="574"/>
      <c r="F81" s="540"/>
      <c r="G81" s="540"/>
      <c r="H81" s="540"/>
      <c r="I81" s="540"/>
      <c r="J81" s="545"/>
    </row>
    <row r="82" spans="4:10">
      <c r="D82" s="575" t="s">
        <v>908</v>
      </c>
      <c r="E82" s="576"/>
      <c r="F82" s="577"/>
      <c r="G82" s="578"/>
      <c r="H82" s="578"/>
      <c r="I82" s="579"/>
      <c r="J82" s="580">
        <f>SUM(J73:J81)</f>
        <v>1.0592552722222219</v>
      </c>
    </row>
    <row r="83" spans="4:10"/>
    <row r="84" spans="4:10"/>
    <row r="85" spans="4:10" ht="15.6">
      <c r="D85" s="558" t="s">
        <v>1095</v>
      </c>
    </row>
    <row r="86" spans="4:10" ht="15.6">
      <c r="D86" s="558"/>
    </row>
    <row r="87" spans="4:10">
      <c r="E87" s="559" t="s">
        <v>1088</v>
      </c>
      <c r="F87" s="559" t="s">
        <v>5</v>
      </c>
      <c r="G87" s="559" t="s">
        <v>1089</v>
      </c>
      <c r="H87" s="559" t="s">
        <v>1090</v>
      </c>
      <c r="I87" s="559" t="s">
        <v>1091</v>
      </c>
      <c r="J87" s="559" t="s">
        <v>1092</v>
      </c>
    </row>
    <row r="88" spans="4:10">
      <c r="D88" s="559" t="s">
        <v>1058</v>
      </c>
      <c r="E88" s="560">
        <f>'EDC minus lijst ULL'!$I$9/2</f>
        <v>5.0000000000000001E-3</v>
      </c>
      <c r="F88" s="561">
        <f>$E$10</f>
        <v>5789.13</v>
      </c>
      <c r="G88" s="562">
        <f>$E$11</f>
        <v>962.19</v>
      </c>
      <c r="H88" s="562"/>
      <c r="I88" s="563">
        <f>$E$41</f>
        <v>50</v>
      </c>
      <c r="J88" s="564">
        <f>E88*(F88/(12*I88)+G88/12)</f>
        <v>0.44915525000000001</v>
      </c>
    </row>
    <row r="89" spans="4:10">
      <c r="D89" s="559" t="s">
        <v>1075</v>
      </c>
      <c r="E89" s="565">
        <v>2</v>
      </c>
      <c r="F89" s="561"/>
      <c r="G89" s="562">
        <f>$E$18</f>
        <v>3.8</v>
      </c>
      <c r="H89" s="562"/>
      <c r="I89" s="563"/>
      <c r="J89" s="564">
        <f>E89*G89/12</f>
        <v>0.6333333333333333</v>
      </c>
    </row>
    <row r="90" spans="4:10">
      <c r="D90" s="559" t="s">
        <v>1093</v>
      </c>
      <c r="E90" s="565">
        <v>2</v>
      </c>
      <c r="F90" s="561"/>
      <c r="G90" s="562">
        <f>$E$19</f>
        <v>2.95</v>
      </c>
      <c r="H90" s="562"/>
      <c r="I90" s="563"/>
      <c r="J90" s="564">
        <f>E90*G90/12</f>
        <v>0.4916666666666667</v>
      </c>
    </row>
    <row r="91" spans="4:10">
      <c r="D91" s="559" t="s">
        <v>1096</v>
      </c>
      <c r="E91" s="567">
        <f>2/(600*$E$44)</f>
        <v>3.3333333333333335E-3</v>
      </c>
      <c r="F91" s="561">
        <f>$E$12</f>
        <v>5874.35</v>
      </c>
      <c r="G91" s="562"/>
      <c r="H91" s="562"/>
      <c r="I91" s="563">
        <f>$E$41</f>
        <v>50</v>
      </c>
      <c r="J91" s="564">
        <f>E91*(F91/(12*I91)+G91/12)</f>
        <v>3.2635277777777784E-2</v>
      </c>
    </row>
    <row r="92" spans="4:10">
      <c r="D92" s="559" t="s">
        <v>1061</v>
      </c>
      <c r="E92" s="567">
        <f>2/(1000*$E$45)</f>
        <v>2E-3</v>
      </c>
      <c r="F92" s="561">
        <f>$E$13</f>
        <v>2563.37</v>
      </c>
      <c r="G92" s="568"/>
      <c r="H92" s="568"/>
      <c r="I92" s="569">
        <f>$E$41</f>
        <v>50</v>
      </c>
      <c r="J92" s="564">
        <f>E92*(F92/(12*I92)+G92/12)</f>
        <v>8.5445666666666663E-3</v>
      </c>
    </row>
    <row r="93" spans="4:10">
      <c r="D93" s="559" t="s">
        <v>1062</v>
      </c>
      <c r="E93" s="567">
        <f>$E$47/$E$50</f>
        <v>1E-3</v>
      </c>
      <c r="F93" s="561">
        <f>$E$14</f>
        <v>2209.8200000000002</v>
      </c>
      <c r="G93" s="568"/>
      <c r="H93" s="568"/>
      <c r="I93" s="569">
        <f>$E$42</f>
        <v>50</v>
      </c>
      <c r="J93" s="564">
        <f>E93*(F93/(12*I93)+G93/12)</f>
        <v>3.6830333333333341E-3</v>
      </c>
    </row>
    <row r="94" spans="4:10">
      <c r="D94" s="559" t="s">
        <v>1063</v>
      </c>
      <c r="E94" s="567">
        <f t="shared" ref="E94:E95" si="2">$E$47/$E$50</f>
        <v>1E-3</v>
      </c>
      <c r="F94" s="561">
        <f>$E$15</f>
        <v>7419.71</v>
      </c>
      <c r="G94" s="568"/>
      <c r="H94" s="568"/>
      <c r="I94" s="569">
        <f>$E$42</f>
        <v>50</v>
      </c>
      <c r="J94" s="564">
        <f>E94*(F94/(12*I94)+G94/12)</f>
        <v>1.2366183333333334E-2</v>
      </c>
    </row>
    <row r="95" spans="4:10">
      <c r="D95" s="559" t="s">
        <v>1064</v>
      </c>
      <c r="E95" s="567">
        <f t="shared" si="2"/>
        <v>1E-3</v>
      </c>
      <c r="F95" s="561">
        <f>$E$16</f>
        <v>6576.53</v>
      </c>
      <c r="G95" s="572"/>
      <c r="H95" s="572"/>
      <c r="I95" s="569">
        <f>$E$42</f>
        <v>50</v>
      </c>
      <c r="J95" s="564">
        <f>E95*(F95/(12*I95)+G95/12)</f>
        <v>1.0960883333333334E-2</v>
      </c>
    </row>
    <row r="96" spans="4:10">
      <c r="D96" s="573"/>
      <c r="E96" s="574"/>
      <c r="F96" s="540"/>
      <c r="G96" s="540"/>
      <c r="H96" s="540"/>
      <c r="I96" s="540"/>
      <c r="J96" s="545"/>
    </row>
    <row r="97" spans="4:10">
      <c r="D97" s="544" t="s">
        <v>908</v>
      </c>
      <c r="E97" s="581"/>
      <c r="F97" s="539"/>
      <c r="G97" s="582"/>
      <c r="H97" s="582"/>
      <c r="I97" s="583"/>
      <c r="J97" s="584">
        <f>SUM(J88:J96)</f>
        <v>1.6423451944444443</v>
      </c>
    </row>
    <row r="98" spans="4:10">
      <c r="D98" s="543"/>
      <c r="E98" s="585"/>
    </row>
    <row r="99" spans="4:10"/>
    <row r="100" spans="4:10" ht="15.6">
      <c r="D100" s="558" t="s">
        <v>1097</v>
      </c>
    </row>
    <row r="101" spans="4:10"/>
    <row r="102" spans="4:10">
      <c r="E102" s="559" t="s">
        <v>1088</v>
      </c>
      <c r="F102" s="559" t="s">
        <v>5</v>
      </c>
      <c r="G102" s="559" t="s">
        <v>1089</v>
      </c>
      <c r="H102" s="559" t="s">
        <v>1090</v>
      </c>
      <c r="I102" s="559" t="s">
        <v>1091</v>
      </c>
      <c r="J102" s="559" t="s">
        <v>1092</v>
      </c>
    </row>
    <row r="103" spans="4:10">
      <c r="D103" s="559" t="s">
        <v>1058</v>
      </c>
      <c r="E103" s="586">
        <f>$E$34*$E$48/$E$49</f>
        <v>5.0000000000000002E-5</v>
      </c>
      <c r="F103" s="561">
        <f>$E$22</f>
        <v>5789.48</v>
      </c>
      <c r="G103" s="562">
        <f>$E$23</f>
        <v>962.19</v>
      </c>
      <c r="H103" s="562"/>
      <c r="I103" s="563">
        <f>$E$41</f>
        <v>50</v>
      </c>
      <c r="J103" s="587">
        <f>E103*(F103/(12*I103)+G103/12)</f>
        <v>4.4915816666666677E-3</v>
      </c>
    </row>
    <row r="104" spans="4:10">
      <c r="D104" s="559" t="s">
        <v>1062</v>
      </c>
      <c r="E104" s="586">
        <f>$E$35*$E$48/$E$49</f>
        <v>5.0000000000000002E-5</v>
      </c>
      <c r="F104" s="561">
        <f>$E$24</f>
        <v>2209.98</v>
      </c>
      <c r="G104" s="562"/>
      <c r="H104" s="562"/>
      <c r="I104" s="563">
        <f t="shared" ref="I104:I109" si="3">$E$42</f>
        <v>50</v>
      </c>
      <c r="J104" s="587">
        <f>E104*(F104/(12*I104)+G104/12)</f>
        <v>1.8416500000000002E-4</v>
      </c>
    </row>
    <row r="105" spans="4:10">
      <c r="D105" s="559" t="s">
        <v>1063</v>
      </c>
      <c r="E105" s="586">
        <f>$E$36*$E$48/$E$49</f>
        <v>5.0000000000000002E-5</v>
      </c>
      <c r="F105" s="561">
        <f>$E$25</f>
        <v>7419.37</v>
      </c>
      <c r="G105" s="562"/>
      <c r="H105" s="562"/>
      <c r="I105" s="563">
        <f t="shared" si="3"/>
        <v>50</v>
      </c>
      <c r="J105" s="587">
        <f>E105*(F105/(12*I105)+G105/12)</f>
        <v>6.1828083333333335E-4</v>
      </c>
    </row>
    <row r="106" spans="4:10">
      <c r="D106" s="559" t="s">
        <v>1070</v>
      </c>
      <c r="E106" s="586">
        <f>$E$37*$E$48/$E$49</f>
        <v>1E-4</v>
      </c>
      <c r="F106" s="561">
        <f>$E$26</f>
        <v>4027.69</v>
      </c>
      <c r="G106" s="562"/>
      <c r="H106" s="562"/>
      <c r="I106" s="563">
        <f t="shared" si="3"/>
        <v>50</v>
      </c>
      <c r="J106" s="587">
        <f>E106*(F106/(12*I106)+G106/12)</f>
        <v>6.7128166666666667E-4</v>
      </c>
    </row>
    <row r="107" spans="4:10">
      <c r="D107" s="559" t="s">
        <v>1071</v>
      </c>
      <c r="E107" s="586">
        <f>$E$38*$E$48/$E$49</f>
        <v>5.0000000000000002E-5</v>
      </c>
      <c r="F107" s="561">
        <f>$E$27</f>
        <v>224</v>
      </c>
      <c r="G107" s="568">
        <f>$E$28*12</f>
        <v>398.76</v>
      </c>
      <c r="H107" s="568"/>
      <c r="I107" s="563">
        <f t="shared" si="3"/>
        <v>50</v>
      </c>
      <c r="J107" s="587">
        <f>E107*(F107/(12*I107)+G107/12)</f>
        <v>1.6801666666666666E-3</v>
      </c>
    </row>
    <row r="108" spans="4:10">
      <c r="D108" s="559" t="s">
        <v>1098</v>
      </c>
      <c r="E108" s="586">
        <f>$E$39*$E$48/$E$49</f>
        <v>1E-4</v>
      </c>
      <c r="F108" s="561"/>
      <c r="G108" s="568"/>
      <c r="H108" s="568">
        <f>$E$29</f>
        <v>0.13</v>
      </c>
      <c r="I108" s="569">
        <f t="shared" si="3"/>
        <v>50</v>
      </c>
      <c r="J108" s="587">
        <f>E108*H108</f>
        <v>1.3000000000000001E-5</v>
      </c>
    </row>
    <row r="109" spans="4:10">
      <c r="D109" s="559" t="s">
        <v>1099</v>
      </c>
      <c r="E109" s="586">
        <f>$E$39*$E$48/$E$49</f>
        <v>1E-4</v>
      </c>
      <c r="F109" s="561"/>
      <c r="G109" s="572"/>
      <c r="H109" s="572">
        <f>$E$30</f>
        <v>0.09</v>
      </c>
      <c r="I109" s="569">
        <f t="shared" si="3"/>
        <v>50</v>
      </c>
      <c r="J109" s="587">
        <f>E109*H109</f>
        <v>9.0000000000000002E-6</v>
      </c>
    </row>
    <row r="110" spans="4:10">
      <c r="D110" s="573"/>
      <c r="E110" s="574"/>
      <c r="F110" s="540"/>
      <c r="G110" s="540"/>
      <c r="H110" s="540"/>
      <c r="I110" s="540"/>
      <c r="J110" s="545"/>
    </row>
    <row r="111" spans="4:10">
      <c r="D111" s="544" t="s">
        <v>908</v>
      </c>
      <c r="E111" s="581"/>
      <c r="F111" s="539"/>
      <c r="G111" s="582"/>
      <c r="H111" s="582"/>
      <c r="I111" s="583"/>
      <c r="J111" s="588">
        <f>SUM(J103:J110)</f>
        <v>7.6674758333333346E-3</v>
      </c>
    </row>
    <row r="112" spans="4:10"/>
    <row r="113" spans="4:10"/>
    <row r="114" spans="4:10" ht="15.6">
      <c r="D114" s="656" t="s">
        <v>1139</v>
      </c>
    </row>
    <row r="115" spans="4:10" ht="15.6">
      <c r="D115" s="558"/>
    </row>
    <row r="116" spans="4:10">
      <c r="D116" s="533" t="s">
        <v>1100</v>
      </c>
      <c r="E116" s="559" t="s">
        <v>1088</v>
      </c>
      <c r="F116" s="559" t="s">
        <v>5</v>
      </c>
      <c r="G116" s="559" t="s">
        <v>1089</v>
      </c>
      <c r="H116" s="559" t="s">
        <v>1090</v>
      </c>
      <c r="I116" s="559" t="s">
        <v>1091</v>
      </c>
      <c r="J116" s="559" t="s">
        <v>1092</v>
      </c>
    </row>
    <row r="117" spans="4:10">
      <c r="D117" s="559" t="s">
        <v>1058</v>
      </c>
      <c r="E117" s="560">
        <f>'EDC minus lijst ULL'!$I$12/2</f>
        <v>5.0000000000000001E-3</v>
      </c>
      <c r="F117" s="561">
        <f>$E$10</f>
        <v>5789.13</v>
      </c>
      <c r="G117" s="562">
        <f>$E$11</f>
        <v>962.19</v>
      </c>
      <c r="H117" s="562"/>
      <c r="I117" s="563">
        <f>$E$41</f>
        <v>50</v>
      </c>
      <c r="J117" s="564">
        <f>E117*(F117/(12*I117)+G117/12)</f>
        <v>0.44915525000000001</v>
      </c>
    </row>
    <row r="118" spans="4:10">
      <c r="D118" s="543"/>
      <c r="E118" s="657"/>
      <c r="F118" s="658"/>
      <c r="G118" s="658"/>
      <c r="H118" s="658"/>
      <c r="I118" s="659"/>
      <c r="J118" s="658"/>
    </row>
    <row r="119" spans="4:10"/>
    <row r="120" spans="4:10" ht="15.6">
      <c r="D120" s="558" t="s">
        <v>1095</v>
      </c>
    </row>
    <row r="121" spans="4:10" ht="15.6">
      <c r="D121" s="558"/>
    </row>
    <row r="122" spans="4:10">
      <c r="D122" s="533" t="s">
        <v>1101</v>
      </c>
      <c r="E122" s="559" t="s">
        <v>1088</v>
      </c>
      <c r="F122" s="559" t="s">
        <v>5</v>
      </c>
      <c r="G122" s="559" t="s">
        <v>1089</v>
      </c>
      <c r="H122" s="559" t="s">
        <v>1090</v>
      </c>
      <c r="I122" s="559" t="s">
        <v>1091</v>
      </c>
      <c r="J122" s="559" t="s">
        <v>1092</v>
      </c>
    </row>
    <row r="123" spans="4:10">
      <c r="D123" s="559" t="s">
        <v>1075</v>
      </c>
      <c r="E123" s="565">
        <v>1</v>
      </c>
      <c r="F123" s="561"/>
      <c r="G123" s="562">
        <f>$E$18</f>
        <v>3.8</v>
      </c>
      <c r="H123" s="562"/>
      <c r="I123" s="563"/>
      <c r="J123" s="564">
        <f>E123*G123/12</f>
        <v>0.31666666666666665</v>
      </c>
    </row>
    <row r="124" spans="4:10">
      <c r="D124" s="559" t="s">
        <v>1093</v>
      </c>
      <c r="E124" s="565">
        <v>1</v>
      </c>
      <c r="F124" s="561"/>
      <c r="G124" s="562">
        <f>$E$19</f>
        <v>2.95</v>
      </c>
      <c r="H124" s="562"/>
      <c r="I124" s="563"/>
      <c r="J124" s="564">
        <f>E124*G124/12</f>
        <v>0.24583333333333335</v>
      </c>
    </row>
    <row r="125" spans="4:10">
      <c r="D125" s="559" t="s">
        <v>1094</v>
      </c>
      <c r="E125" s="567">
        <f>1/(600*$E$44)</f>
        <v>1.6666666666666668E-3</v>
      </c>
      <c r="F125" s="561">
        <f>$E$12</f>
        <v>5874.35</v>
      </c>
      <c r="G125" s="562"/>
      <c r="H125" s="562"/>
      <c r="I125" s="563">
        <f>$E$41</f>
        <v>50</v>
      </c>
      <c r="J125" s="564">
        <f>E125*(F125/(12*I125)+G125/12)</f>
        <v>1.6317638888888892E-2</v>
      </c>
    </row>
    <row r="126" spans="4:10">
      <c r="D126" s="559" t="s">
        <v>1061</v>
      </c>
      <c r="E126" s="567">
        <f>1/(1000*$E$45)</f>
        <v>1E-3</v>
      </c>
      <c r="F126" s="561">
        <f>$E$13</f>
        <v>2563.37</v>
      </c>
      <c r="G126" s="568"/>
      <c r="H126" s="568"/>
      <c r="I126" s="569">
        <f>$E$41</f>
        <v>50</v>
      </c>
      <c r="J126" s="564">
        <f>E126*(F126/(12*I126)+G126/12)</f>
        <v>4.2722833333333331E-3</v>
      </c>
    </row>
    <row r="127" spans="4:10">
      <c r="D127" s="559" t="s">
        <v>1062</v>
      </c>
      <c r="E127" s="567">
        <f>$E$47/$E$50</f>
        <v>1E-3</v>
      </c>
      <c r="F127" s="561">
        <f>$E$14</f>
        <v>2209.8200000000002</v>
      </c>
      <c r="G127" s="568"/>
      <c r="H127" s="568"/>
      <c r="I127" s="569">
        <f>$E$42</f>
        <v>50</v>
      </c>
      <c r="J127" s="564">
        <f>E127*(F127/(12*I127)+G127/12)</f>
        <v>3.6830333333333341E-3</v>
      </c>
    </row>
    <row r="128" spans="4:10">
      <c r="D128" s="559" t="s">
        <v>1063</v>
      </c>
      <c r="E128" s="567">
        <f t="shared" ref="E128:E129" si="4">$E$47/$E$50</f>
        <v>1E-3</v>
      </c>
      <c r="F128" s="561">
        <f>$E$15</f>
        <v>7419.71</v>
      </c>
      <c r="G128" s="568"/>
      <c r="H128" s="568"/>
      <c r="I128" s="569">
        <f>$E$42</f>
        <v>50</v>
      </c>
      <c r="J128" s="564">
        <f>E128*(F128/(12*I128)+G128/12)</f>
        <v>1.2366183333333334E-2</v>
      </c>
    </row>
    <row r="129" spans="4:10">
      <c r="D129" s="570" t="s">
        <v>1064</v>
      </c>
      <c r="E129" s="571">
        <f t="shared" si="4"/>
        <v>1E-3</v>
      </c>
      <c r="F129" s="561">
        <f>$E$16</f>
        <v>6576.53</v>
      </c>
      <c r="G129" s="572"/>
      <c r="H129" s="572"/>
      <c r="I129" s="569">
        <f>$E$42</f>
        <v>50</v>
      </c>
      <c r="J129" s="564">
        <f>E129*(F129/(12*I129)+G129/12)</f>
        <v>1.0960883333333334E-2</v>
      </c>
    </row>
    <row r="130" spans="4:10">
      <c r="D130" s="573"/>
      <c r="E130" s="574"/>
      <c r="F130" s="540"/>
      <c r="G130" s="540"/>
      <c r="H130" s="540"/>
      <c r="I130" s="540"/>
      <c r="J130" s="545"/>
    </row>
    <row r="131" spans="4:10">
      <c r="D131" s="575" t="s">
        <v>908</v>
      </c>
      <c r="E131" s="576"/>
      <c r="F131" s="577"/>
      <c r="G131" s="578"/>
      <c r="H131" s="578"/>
      <c r="I131" s="579"/>
      <c r="J131" s="580">
        <f>SUM(J122:J130)</f>
        <v>0.61010002222222215</v>
      </c>
    </row>
    <row r="132" spans="4:10"/>
    <row r="133" spans="4:10"/>
    <row r="134" spans="4:10" ht="15.6">
      <c r="D134" s="558" t="s">
        <v>1102</v>
      </c>
    </row>
    <row r="135" spans="4:10" ht="15.6">
      <c r="D135" s="558"/>
    </row>
    <row r="136" spans="4:10">
      <c r="E136" s="559" t="s">
        <v>1088</v>
      </c>
      <c r="F136" s="559" t="s">
        <v>5</v>
      </c>
      <c r="G136" s="559" t="s">
        <v>1089</v>
      </c>
      <c r="H136" s="559" t="s">
        <v>1090</v>
      </c>
      <c r="I136" s="559" t="s">
        <v>1091</v>
      </c>
      <c r="J136" s="559" t="s">
        <v>1092</v>
      </c>
    </row>
    <row r="137" spans="4:10">
      <c r="D137" s="559" t="s">
        <v>1058</v>
      </c>
      <c r="E137" s="560">
        <f>'EDC minus lijst ULL'!$I$60</f>
        <v>0</v>
      </c>
      <c r="F137" s="561">
        <f>$E$10</f>
        <v>5789.13</v>
      </c>
      <c r="G137" s="562">
        <f>$E$11</f>
        <v>962.19</v>
      </c>
      <c r="H137" s="562"/>
      <c r="I137" s="563">
        <f>$E$41</f>
        <v>50</v>
      </c>
      <c r="J137" s="564">
        <f>E137*(F137/(12*I137)+G137/12)</f>
        <v>0</v>
      </c>
    </row>
    <row r="138" spans="4:10">
      <c r="D138" s="559" t="s">
        <v>1075</v>
      </c>
      <c r="E138" s="565">
        <v>2</v>
      </c>
      <c r="F138" s="561"/>
      <c r="G138" s="562">
        <f>$E$18</f>
        <v>3.8</v>
      </c>
      <c r="H138" s="562"/>
      <c r="I138" s="563"/>
      <c r="J138" s="564">
        <f>E138*G138/12</f>
        <v>0.6333333333333333</v>
      </c>
    </row>
    <row r="139" spans="4:10">
      <c r="D139" s="559" t="s">
        <v>1093</v>
      </c>
      <c r="E139" s="565">
        <v>2</v>
      </c>
      <c r="F139" s="561"/>
      <c r="G139" s="562">
        <f>$E$19</f>
        <v>2.95</v>
      </c>
      <c r="H139" s="562"/>
      <c r="I139" s="563"/>
      <c r="J139" s="564">
        <f>E139*G139/12</f>
        <v>0.4916666666666667</v>
      </c>
    </row>
    <row r="140" spans="4:10">
      <c r="D140" s="559" t="s">
        <v>1096</v>
      </c>
      <c r="E140" s="567">
        <f>2/(600*$E$44)</f>
        <v>3.3333333333333335E-3</v>
      </c>
      <c r="F140" s="561">
        <f>$E$12</f>
        <v>5874.35</v>
      </c>
      <c r="G140" s="562"/>
      <c r="H140" s="562"/>
      <c r="I140" s="563">
        <f>$E$41</f>
        <v>50</v>
      </c>
      <c r="J140" s="564">
        <f>E140*(F140/(12*I140)+G140/12)</f>
        <v>3.2635277777777784E-2</v>
      </c>
    </row>
    <row r="141" spans="4:10">
      <c r="D141" s="559" t="s">
        <v>1061</v>
      </c>
      <c r="E141" s="567">
        <f>2/(1000*$E$45)</f>
        <v>2E-3</v>
      </c>
      <c r="F141" s="561">
        <f>$E$13</f>
        <v>2563.37</v>
      </c>
      <c r="G141" s="568"/>
      <c r="H141" s="568"/>
      <c r="I141" s="569">
        <f>$E$41</f>
        <v>50</v>
      </c>
      <c r="J141" s="564">
        <f>E141*(F141/(12*I141)+G141/12)</f>
        <v>8.5445666666666663E-3</v>
      </c>
    </row>
    <row r="142" spans="4:10">
      <c r="D142" s="559" t="s">
        <v>1062</v>
      </c>
      <c r="E142" s="567">
        <f>$E$47/$E$50</f>
        <v>1E-3</v>
      </c>
      <c r="F142" s="561">
        <f>$E$14</f>
        <v>2209.8200000000002</v>
      </c>
      <c r="G142" s="568"/>
      <c r="H142" s="568"/>
      <c r="I142" s="569">
        <f>$E$42</f>
        <v>50</v>
      </c>
      <c r="J142" s="564">
        <f>E142*(F142/(12*I142)+G142/12)</f>
        <v>3.6830333333333341E-3</v>
      </c>
    </row>
    <row r="143" spans="4:10">
      <c r="D143" s="559" t="s">
        <v>1063</v>
      </c>
      <c r="E143" s="567">
        <f t="shared" ref="E143:E144" si="5">$E$47/$E$50</f>
        <v>1E-3</v>
      </c>
      <c r="F143" s="561">
        <f>$E$15</f>
        <v>7419.71</v>
      </c>
      <c r="G143" s="568"/>
      <c r="H143" s="568"/>
      <c r="I143" s="569">
        <f>$E$42</f>
        <v>50</v>
      </c>
      <c r="J143" s="564">
        <f>E143*(F143/(12*I143)+G143/12)</f>
        <v>1.2366183333333334E-2</v>
      </c>
    </row>
    <row r="144" spans="4:10">
      <c r="D144" s="559" t="s">
        <v>1064</v>
      </c>
      <c r="E144" s="567">
        <f t="shared" si="5"/>
        <v>1E-3</v>
      </c>
      <c r="F144" s="561">
        <f>$E$16</f>
        <v>6576.53</v>
      </c>
      <c r="G144" s="572"/>
      <c r="H144" s="572"/>
      <c r="I144" s="569">
        <f>$E$42</f>
        <v>50</v>
      </c>
      <c r="J144" s="564">
        <f>E144*(F144/(12*I144)+G144/12)</f>
        <v>1.0960883333333334E-2</v>
      </c>
    </row>
    <row r="145" spans="4:11">
      <c r="D145" s="573"/>
      <c r="E145" s="574"/>
      <c r="F145" s="540"/>
      <c r="G145" s="540"/>
      <c r="H145" s="540"/>
      <c r="I145" s="540"/>
      <c r="J145" s="545"/>
    </row>
    <row r="146" spans="4:11">
      <c r="D146" s="544" t="s">
        <v>908</v>
      </c>
      <c r="E146" s="581"/>
      <c r="F146" s="539"/>
      <c r="G146" s="582"/>
      <c r="H146" s="582"/>
      <c r="I146" s="583"/>
      <c r="J146" s="584">
        <f>SUM(J137:J145)</f>
        <v>1.1931899444444443</v>
      </c>
    </row>
    <row r="147" spans="4:11">
      <c r="D147" s="543"/>
      <c r="E147" s="585"/>
    </row>
    <row r="148" spans="4:11"/>
    <row r="149" spans="4:11" ht="15.6">
      <c r="D149" s="558" t="s">
        <v>1103</v>
      </c>
    </row>
    <row r="150" spans="4:11"/>
    <row r="151" spans="4:11">
      <c r="E151" s="559" t="s">
        <v>1088</v>
      </c>
      <c r="F151" s="559" t="s">
        <v>5</v>
      </c>
      <c r="G151" s="559" t="s">
        <v>1089</v>
      </c>
      <c r="H151" s="559" t="s">
        <v>1090</v>
      </c>
      <c r="I151" s="559" t="s">
        <v>1091</v>
      </c>
      <c r="J151" s="559" t="s">
        <v>1092</v>
      </c>
    </row>
    <row r="152" spans="4:11">
      <c r="D152" s="559" t="s">
        <v>1058</v>
      </c>
      <c r="E152" s="560">
        <f>'EDC minus lijst ULL'!$I$36/2</f>
        <v>5.0000000000000001E-3</v>
      </c>
      <c r="F152" s="561">
        <f>$E$10</f>
        <v>5789.13</v>
      </c>
      <c r="G152" s="562">
        <f>$E$11</f>
        <v>962.19</v>
      </c>
      <c r="H152" s="562"/>
      <c r="I152" s="563">
        <f>$E$41</f>
        <v>50</v>
      </c>
      <c r="J152" s="564">
        <f>E152*(F152/(12*I152)+G152/12)</f>
        <v>0.44915525000000001</v>
      </c>
    </row>
    <row r="153" spans="4:11">
      <c r="D153" s="559" t="s">
        <v>1075</v>
      </c>
      <c r="E153" s="565">
        <v>1</v>
      </c>
      <c r="F153" s="561"/>
      <c r="G153" s="562">
        <f>$E$18</f>
        <v>3.8</v>
      </c>
      <c r="H153" s="562"/>
      <c r="I153" s="563"/>
      <c r="J153" s="564">
        <f>E153*G153/12</f>
        <v>0.31666666666666665</v>
      </c>
      <c r="K153" s="566"/>
    </row>
    <row r="154" spans="4:11">
      <c r="D154" s="559" t="s">
        <v>1093</v>
      </c>
      <c r="E154" s="565">
        <v>1</v>
      </c>
      <c r="F154" s="561"/>
      <c r="G154" s="562">
        <f>$E$19</f>
        <v>2.95</v>
      </c>
      <c r="H154" s="562"/>
      <c r="I154" s="563"/>
      <c r="J154" s="564">
        <f>E154*G154/12</f>
        <v>0.24583333333333335</v>
      </c>
      <c r="K154" s="566"/>
    </row>
    <row r="155" spans="4:11">
      <c r="D155" s="559" t="s">
        <v>1094</v>
      </c>
      <c r="E155" s="567">
        <f>1/(600*$E$44)</f>
        <v>1.6666666666666668E-3</v>
      </c>
      <c r="F155" s="561">
        <f>$E$12</f>
        <v>5874.35</v>
      </c>
      <c r="G155" s="562"/>
      <c r="H155" s="562"/>
      <c r="I155" s="563">
        <f>$E$41</f>
        <v>50</v>
      </c>
      <c r="J155" s="564">
        <f>E155*(F155/(12*I155)+G155/12)</f>
        <v>1.6317638888888892E-2</v>
      </c>
    </row>
    <row r="156" spans="4:11">
      <c r="D156" s="559" t="s">
        <v>1061</v>
      </c>
      <c r="E156" s="567">
        <f>1/(1000*$E$45)</f>
        <v>1E-3</v>
      </c>
      <c r="F156" s="561">
        <f>$E$13</f>
        <v>2563.37</v>
      </c>
      <c r="G156" s="568"/>
      <c r="H156" s="568"/>
      <c r="I156" s="569">
        <f>$E$41</f>
        <v>50</v>
      </c>
      <c r="J156" s="564">
        <f>E156*(F156/(12*I156)+G156/12)</f>
        <v>4.2722833333333331E-3</v>
      </c>
    </row>
    <row r="157" spans="4:11">
      <c r="D157" s="559" t="s">
        <v>1062</v>
      </c>
      <c r="E157" s="567">
        <f>$E$47/$E$50</f>
        <v>1E-3</v>
      </c>
      <c r="F157" s="561">
        <f>$E$14</f>
        <v>2209.8200000000002</v>
      </c>
      <c r="G157" s="568"/>
      <c r="H157" s="568"/>
      <c r="I157" s="569">
        <f>$E$42</f>
        <v>50</v>
      </c>
      <c r="J157" s="564">
        <f>E157*(F157/(12*I157)+G157/12)</f>
        <v>3.6830333333333341E-3</v>
      </c>
    </row>
    <row r="158" spans="4:11">
      <c r="D158" s="559" t="s">
        <v>1063</v>
      </c>
      <c r="E158" s="567">
        <f t="shared" ref="E158:E159" si="6">$E$47/$E$50</f>
        <v>1E-3</v>
      </c>
      <c r="F158" s="561">
        <f>$E$15</f>
        <v>7419.71</v>
      </c>
      <c r="G158" s="568"/>
      <c r="H158" s="568"/>
      <c r="I158" s="569">
        <f>$E$42</f>
        <v>50</v>
      </c>
      <c r="J158" s="564">
        <f>E158*(F158/(12*I158)+G158/12)</f>
        <v>1.2366183333333334E-2</v>
      </c>
    </row>
    <row r="159" spans="4:11">
      <c r="D159" s="570" t="s">
        <v>1064</v>
      </c>
      <c r="E159" s="571">
        <f t="shared" si="6"/>
        <v>1E-3</v>
      </c>
      <c r="F159" s="561">
        <f>$E$16</f>
        <v>6576.53</v>
      </c>
      <c r="G159" s="572"/>
      <c r="H159" s="572"/>
      <c r="I159" s="569">
        <f>$E$42</f>
        <v>50</v>
      </c>
      <c r="J159" s="564">
        <f>E159*(F159/(12*I159)+G159/12)</f>
        <v>1.0960883333333334E-2</v>
      </c>
    </row>
    <row r="160" spans="4:11">
      <c r="D160" s="573"/>
      <c r="E160" s="574"/>
      <c r="F160" s="540"/>
      <c r="G160" s="540"/>
      <c r="H160" s="540"/>
      <c r="I160" s="540"/>
      <c r="J160" s="545"/>
    </row>
    <row r="161" spans="4:20">
      <c r="D161" s="575" t="s">
        <v>908</v>
      </c>
      <c r="E161" s="576"/>
      <c r="F161" s="577"/>
      <c r="G161" s="578"/>
      <c r="H161" s="578"/>
      <c r="I161" s="579"/>
      <c r="J161" s="580">
        <f>SUM(J152:J160)</f>
        <v>1.0592552722222219</v>
      </c>
    </row>
    <row r="162" spans="4:20"/>
    <row r="163" spans="4:20"/>
    <row r="164" spans="4:20" ht="15.6">
      <c r="N164" s="505"/>
      <c r="O164" s="505"/>
      <c r="P164" s="505"/>
      <c r="Q164" s="505"/>
      <c r="R164" s="505"/>
      <c r="S164" s="505"/>
      <c r="T164" s="505"/>
    </row>
    <row r="165" spans="4:20" ht="15.6">
      <c r="D165" s="558" t="s">
        <v>1104</v>
      </c>
      <c r="S165" s="505"/>
      <c r="T165" s="505"/>
    </row>
    <row r="166" spans="4:20" ht="15.6">
      <c r="S166" s="505"/>
      <c r="T166" s="505"/>
    </row>
    <row r="167" spans="4:20" ht="15.6">
      <c r="E167" s="559" t="s">
        <v>1088</v>
      </c>
      <c r="F167" s="559" t="s">
        <v>5</v>
      </c>
      <c r="G167" s="559" t="s">
        <v>1089</v>
      </c>
      <c r="H167" s="559" t="s">
        <v>1090</v>
      </c>
      <c r="I167" s="559" t="s">
        <v>1091</v>
      </c>
      <c r="J167" s="559" t="s">
        <v>1092</v>
      </c>
      <c r="S167" s="505"/>
      <c r="T167" s="505"/>
    </row>
    <row r="168" spans="4:20" ht="15.6">
      <c r="D168" s="559" t="s">
        <v>1058</v>
      </c>
      <c r="E168" s="560">
        <f>'EDC minus lijst ULL'!$I$34/2</f>
        <v>5.0000000000000001E-3</v>
      </c>
      <c r="F168" s="561">
        <f>$E$10</f>
        <v>5789.13</v>
      </c>
      <c r="G168" s="562">
        <f>$E$11</f>
        <v>962.19</v>
      </c>
      <c r="H168" s="562"/>
      <c r="I168" s="563">
        <f>$E$41</f>
        <v>50</v>
      </c>
      <c r="J168" s="564">
        <f>E168*(F168/(12*I168)+G168/12)</f>
        <v>0.44915525000000001</v>
      </c>
      <c r="S168" s="505"/>
      <c r="T168" s="505"/>
    </row>
    <row r="169" spans="4:20" ht="15.6">
      <c r="D169" s="559" t="s">
        <v>1075</v>
      </c>
      <c r="E169" s="565">
        <v>1</v>
      </c>
      <c r="F169" s="561"/>
      <c r="G169" s="562">
        <f>$E$18</f>
        <v>3.8</v>
      </c>
      <c r="H169" s="562"/>
      <c r="I169" s="563"/>
      <c r="J169" s="564">
        <f>E169*G169/12</f>
        <v>0.31666666666666665</v>
      </c>
      <c r="S169" s="505"/>
      <c r="T169" s="505"/>
    </row>
    <row r="170" spans="4:20" ht="15.6">
      <c r="D170" s="559" t="s">
        <v>1093</v>
      </c>
      <c r="E170" s="565">
        <v>1</v>
      </c>
      <c r="F170" s="561"/>
      <c r="G170" s="562">
        <f>$E$19</f>
        <v>2.95</v>
      </c>
      <c r="H170" s="562"/>
      <c r="I170" s="563"/>
      <c r="J170" s="564">
        <f>E170*G170/12</f>
        <v>0.24583333333333335</v>
      </c>
      <c r="S170" s="505"/>
      <c r="T170" s="505"/>
    </row>
    <row r="171" spans="4:20" ht="15.6">
      <c r="D171" s="559" t="s">
        <v>1094</v>
      </c>
      <c r="E171" s="567">
        <f>1/(600*$E$44)</f>
        <v>1.6666666666666668E-3</v>
      </c>
      <c r="F171" s="561">
        <f>$E$12</f>
        <v>5874.35</v>
      </c>
      <c r="G171" s="562"/>
      <c r="H171" s="562"/>
      <c r="I171" s="563">
        <f>$E$41</f>
        <v>50</v>
      </c>
      <c r="J171" s="564">
        <f>E171*(F171/(12*I171)+G171/12)</f>
        <v>1.6317638888888892E-2</v>
      </c>
      <c r="S171" s="505"/>
      <c r="T171" s="505"/>
    </row>
    <row r="172" spans="4:20" ht="15.6">
      <c r="D172" s="559" t="s">
        <v>1061</v>
      </c>
      <c r="E172" s="567">
        <f>1/(1000*$E$45)</f>
        <v>1E-3</v>
      </c>
      <c r="F172" s="561">
        <f>$E$13</f>
        <v>2563.37</v>
      </c>
      <c r="G172" s="568"/>
      <c r="H172" s="568"/>
      <c r="I172" s="569">
        <f>$E$41</f>
        <v>50</v>
      </c>
      <c r="J172" s="564">
        <f>E172*(F172/(12*I172)+G172/12)</f>
        <v>4.2722833333333331E-3</v>
      </c>
      <c r="S172" s="505"/>
      <c r="T172" s="505"/>
    </row>
    <row r="173" spans="4:20" ht="15.6">
      <c r="D173" s="559" t="s">
        <v>1062</v>
      </c>
      <c r="E173" s="567">
        <f>$E$47/$E$50</f>
        <v>1E-3</v>
      </c>
      <c r="F173" s="561">
        <f>$E$14</f>
        <v>2209.8200000000002</v>
      </c>
      <c r="G173" s="568"/>
      <c r="H173" s="568"/>
      <c r="I173" s="569">
        <f>$E$42</f>
        <v>50</v>
      </c>
      <c r="J173" s="564">
        <f>E173*(F173/(12*I173)+G173/12)</f>
        <v>3.6830333333333341E-3</v>
      </c>
      <c r="S173" s="505"/>
      <c r="T173" s="505"/>
    </row>
    <row r="174" spans="4:20" ht="15.6">
      <c r="D174" s="559" t="s">
        <v>1063</v>
      </c>
      <c r="E174" s="567">
        <f t="shared" ref="E174:E175" si="7">$E$47/$E$50</f>
        <v>1E-3</v>
      </c>
      <c r="F174" s="561">
        <f>$E$15</f>
        <v>7419.71</v>
      </c>
      <c r="G174" s="568"/>
      <c r="H174" s="568"/>
      <c r="I174" s="569">
        <f>$E$42</f>
        <v>50</v>
      </c>
      <c r="J174" s="564">
        <f>E174*(F174/(12*I174)+G174/12)</f>
        <v>1.2366183333333334E-2</v>
      </c>
      <c r="S174" s="505"/>
      <c r="T174" s="505"/>
    </row>
    <row r="175" spans="4:20" ht="15.6">
      <c r="D175" s="570" t="s">
        <v>1064</v>
      </c>
      <c r="E175" s="571">
        <f t="shared" si="7"/>
        <v>1E-3</v>
      </c>
      <c r="F175" s="561">
        <f>$E$16</f>
        <v>6576.53</v>
      </c>
      <c r="G175" s="572"/>
      <c r="H175" s="572"/>
      <c r="I175" s="569">
        <f>$E$42</f>
        <v>50</v>
      </c>
      <c r="J175" s="564">
        <f>E175*(F175/(12*I175)+G175/12)</f>
        <v>1.0960883333333334E-2</v>
      </c>
      <c r="S175" s="505"/>
      <c r="T175" s="505"/>
    </row>
    <row r="176" spans="4:20" ht="15.6">
      <c r="D176" s="573"/>
      <c r="E176" s="574"/>
      <c r="F176" s="540"/>
      <c r="G176" s="540"/>
      <c r="H176" s="540"/>
      <c r="I176" s="540"/>
      <c r="J176" s="545"/>
      <c r="S176" s="505"/>
      <c r="T176" s="505"/>
    </row>
    <row r="177" spans="4:20" ht="15.6">
      <c r="D177" s="575" t="s">
        <v>908</v>
      </c>
      <c r="E177" s="576"/>
      <c r="F177" s="577"/>
      <c r="G177" s="578"/>
      <c r="H177" s="578"/>
      <c r="I177" s="579"/>
      <c r="J177" s="580">
        <f>SUM(J168:J176)</f>
        <v>1.0592552722222219</v>
      </c>
      <c r="S177" s="505"/>
      <c r="T177" s="505"/>
    </row>
    <row r="178" spans="4:20" ht="15.6">
      <c r="L178" s="505"/>
      <c r="M178" s="505"/>
      <c r="N178" s="505"/>
      <c r="O178" s="505"/>
      <c r="P178" s="505"/>
      <c r="Q178" s="505"/>
      <c r="R178" s="505"/>
      <c r="S178" s="505"/>
      <c r="T178" s="505"/>
    </row>
    <row r="179" spans="4:20" ht="15.6">
      <c r="N179" s="505"/>
      <c r="O179" s="505"/>
      <c r="P179" s="505"/>
      <c r="Q179" s="505"/>
      <c r="R179" s="505"/>
      <c r="S179" s="505"/>
      <c r="T179" s="505"/>
    </row>
    <row r="180" spans="4:20"/>
    <row r="181" spans="4:20" ht="15.6">
      <c r="D181" s="558" t="s">
        <v>1105</v>
      </c>
      <c r="L181" s="505"/>
      <c r="M181" s="505"/>
      <c r="N181" s="505"/>
      <c r="O181" s="505"/>
      <c r="P181" s="505"/>
      <c r="Q181" s="505"/>
      <c r="R181" s="505"/>
      <c r="S181" s="505"/>
      <c r="T181" s="505"/>
    </row>
    <row r="182" spans="4:20" ht="15.6">
      <c r="L182" s="505"/>
      <c r="M182" s="505"/>
      <c r="N182" s="505"/>
      <c r="O182" s="505"/>
      <c r="P182" s="505"/>
      <c r="Q182" s="505"/>
      <c r="R182" s="505"/>
      <c r="S182" s="505"/>
      <c r="T182" s="505"/>
    </row>
    <row r="183" spans="4:20" ht="15.6">
      <c r="E183" s="559" t="s">
        <v>1088</v>
      </c>
      <c r="F183" s="559" t="s">
        <v>5</v>
      </c>
      <c r="G183" s="559" t="s">
        <v>1089</v>
      </c>
      <c r="H183" s="559" t="s">
        <v>1090</v>
      </c>
      <c r="I183" s="559" t="s">
        <v>1091</v>
      </c>
      <c r="J183" s="559" t="s">
        <v>1092</v>
      </c>
      <c r="L183" s="505"/>
      <c r="M183" s="505"/>
      <c r="N183" s="505"/>
      <c r="O183" s="505"/>
      <c r="P183" s="505"/>
      <c r="Q183" s="505"/>
      <c r="R183" s="505"/>
      <c r="S183" s="505"/>
      <c r="T183" s="505"/>
    </row>
    <row r="184" spans="4:20" ht="15.6">
      <c r="D184" s="559" t="s">
        <v>1058</v>
      </c>
      <c r="E184" s="560">
        <f>'EDC minus lijst ULL'!$I$35/2</f>
        <v>5.0000000000000001E-3</v>
      </c>
      <c r="F184" s="561">
        <f>$E$10</f>
        <v>5789.13</v>
      </c>
      <c r="G184" s="562">
        <f>$E$11</f>
        <v>962.19</v>
      </c>
      <c r="H184" s="562"/>
      <c r="I184" s="563">
        <f>$E$41</f>
        <v>50</v>
      </c>
      <c r="J184" s="564">
        <f>E184*(F184/(12*I184)+G184/12)</f>
        <v>0.44915525000000001</v>
      </c>
      <c r="L184" s="505"/>
      <c r="M184" s="505"/>
      <c r="N184" s="505"/>
      <c r="O184" s="505"/>
      <c r="P184" s="505"/>
      <c r="Q184" s="505"/>
      <c r="R184" s="505"/>
      <c r="S184" s="505"/>
      <c r="T184" s="505"/>
    </row>
    <row r="185" spans="4:20" ht="15.6">
      <c r="D185" s="559" t="s">
        <v>1075</v>
      </c>
      <c r="E185" s="565">
        <v>2</v>
      </c>
      <c r="F185" s="561"/>
      <c r="G185" s="562">
        <f>$E$18</f>
        <v>3.8</v>
      </c>
      <c r="H185" s="562"/>
      <c r="I185" s="563"/>
      <c r="J185" s="564">
        <f>E185*G185/12</f>
        <v>0.6333333333333333</v>
      </c>
      <c r="L185" s="505"/>
      <c r="M185" s="505"/>
      <c r="N185" s="505"/>
      <c r="O185" s="505"/>
      <c r="P185" s="505"/>
      <c r="Q185" s="505"/>
      <c r="R185" s="505"/>
      <c r="S185" s="505"/>
      <c r="T185" s="505"/>
    </row>
    <row r="186" spans="4:20" ht="15.6">
      <c r="D186" s="559" t="s">
        <v>1093</v>
      </c>
      <c r="E186" s="565">
        <v>2</v>
      </c>
      <c r="F186" s="561"/>
      <c r="G186" s="562">
        <f>$E$19</f>
        <v>2.95</v>
      </c>
      <c r="H186" s="562"/>
      <c r="I186" s="563"/>
      <c r="J186" s="564">
        <f>E186*G186/12</f>
        <v>0.4916666666666667</v>
      </c>
      <c r="L186" s="505"/>
      <c r="M186" s="505"/>
      <c r="N186" s="505"/>
      <c r="O186" s="505"/>
      <c r="P186" s="505"/>
      <c r="Q186" s="505"/>
      <c r="R186" s="505"/>
      <c r="S186" s="505"/>
      <c r="T186" s="505"/>
    </row>
    <row r="187" spans="4:20" ht="15.6">
      <c r="D187" s="559" t="s">
        <v>1094</v>
      </c>
      <c r="E187" s="567">
        <f>2/(600*$E$44)</f>
        <v>3.3333333333333335E-3</v>
      </c>
      <c r="F187" s="561">
        <f>$E$12</f>
        <v>5874.35</v>
      </c>
      <c r="G187" s="562"/>
      <c r="H187" s="562"/>
      <c r="I187" s="563">
        <f>$E$41</f>
        <v>50</v>
      </c>
      <c r="J187" s="564">
        <f>E187*(F187/(12*I187)+G187/12)</f>
        <v>3.2635277777777784E-2</v>
      </c>
      <c r="L187" s="505"/>
      <c r="M187" s="505"/>
      <c r="N187" s="505"/>
      <c r="O187" s="505"/>
      <c r="P187" s="505"/>
      <c r="Q187" s="505"/>
      <c r="R187" s="505"/>
      <c r="S187" s="505"/>
      <c r="T187" s="505"/>
    </row>
    <row r="188" spans="4:20" ht="15.6">
      <c r="D188" s="559" t="s">
        <v>1061</v>
      </c>
      <c r="E188" s="567">
        <f>2/(1000*$E$45)</f>
        <v>2E-3</v>
      </c>
      <c r="F188" s="561">
        <f>$E$13</f>
        <v>2563.37</v>
      </c>
      <c r="G188" s="568"/>
      <c r="H188" s="568"/>
      <c r="I188" s="569">
        <f>$E$41</f>
        <v>50</v>
      </c>
      <c r="J188" s="564">
        <f>E188*(F188/(12*I188)+G188/12)</f>
        <v>8.5445666666666663E-3</v>
      </c>
      <c r="L188" s="505"/>
      <c r="M188" s="505"/>
      <c r="N188" s="505"/>
      <c r="O188" s="505"/>
      <c r="P188" s="505"/>
      <c r="Q188" s="505"/>
      <c r="R188" s="505"/>
      <c r="S188" s="505"/>
      <c r="T188" s="505"/>
    </row>
    <row r="189" spans="4:20" ht="15.6">
      <c r="D189" s="559" t="s">
        <v>1062</v>
      </c>
      <c r="E189" s="567">
        <f>$E$47/$E$50</f>
        <v>1E-3</v>
      </c>
      <c r="F189" s="561">
        <f>$E$14</f>
        <v>2209.8200000000002</v>
      </c>
      <c r="G189" s="568"/>
      <c r="H189" s="568"/>
      <c r="I189" s="569">
        <f>$E$42</f>
        <v>50</v>
      </c>
      <c r="J189" s="564">
        <f>E189*(F189/(12*I189)+G189/12)</f>
        <v>3.6830333333333341E-3</v>
      </c>
      <c r="L189" s="505"/>
      <c r="M189" s="505"/>
      <c r="N189" s="505"/>
      <c r="O189" s="505"/>
      <c r="P189" s="505"/>
      <c r="Q189" s="505"/>
      <c r="R189" s="505"/>
      <c r="S189" s="505"/>
      <c r="T189" s="505"/>
    </row>
    <row r="190" spans="4:20" ht="15.6">
      <c r="D190" s="559" t="s">
        <v>1063</v>
      </c>
      <c r="E190" s="567">
        <f t="shared" ref="E190:E191" si="8">$E$47/$E$50</f>
        <v>1E-3</v>
      </c>
      <c r="F190" s="561">
        <f>$E$15</f>
        <v>7419.71</v>
      </c>
      <c r="G190" s="568"/>
      <c r="H190" s="568"/>
      <c r="I190" s="569">
        <f>$E$42</f>
        <v>50</v>
      </c>
      <c r="J190" s="564">
        <f>E190*(F190/(12*I190)+G190/12)</f>
        <v>1.2366183333333334E-2</v>
      </c>
      <c r="L190" s="505"/>
      <c r="M190" s="505"/>
      <c r="N190" s="505"/>
      <c r="O190" s="505"/>
      <c r="P190" s="505"/>
      <c r="Q190" s="505"/>
      <c r="R190" s="505"/>
      <c r="S190" s="505"/>
      <c r="T190" s="505"/>
    </row>
    <row r="191" spans="4:20" ht="15.6">
      <c r="D191" s="570" t="s">
        <v>1064</v>
      </c>
      <c r="E191" s="571">
        <f t="shared" si="8"/>
        <v>1E-3</v>
      </c>
      <c r="F191" s="561">
        <f>$E$16</f>
        <v>6576.53</v>
      </c>
      <c r="G191" s="572"/>
      <c r="H191" s="572"/>
      <c r="I191" s="569">
        <f>$E$42</f>
        <v>50</v>
      </c>
      <c r="J191" s="564">
        <f>E191*(F191/(12*I191)+G191/12)</f>
        <v>1.0960883333333334E-2</v>
      </c>
      <c r="L191" s="505"/>
      <c r="M191" s="505"/>
      <c r="N191" s="505"/>
      <c r="O191" s="505"/>
      <c r="P191" s="505"/>
      <c r="Q191" s="505"/>
      <c r="R191" s="505"/>
      <c r="S191" s="505"/>
      <c r="T191" s="505"/>
    </row>
    <row r="192" spans="4:20" ht="15.6">
      <c r="D192" s="573"/>
      <c r="E192" s="574"/>
      <c r="F192" s="540"/>
      <c r="G192" s="540"/>
      <c r="H192" s="540"/>
      <c r="I192" s="540"/>
      <c r="J192" s="545"/>
      <c r="L192" s="505"/>
      <c r="M192" s="505"/>
      <c r="N192" s="505"/>
      <c r="O192" s="505"/>
      <c r="P192" s="505"/>
      <c r="Q192" s="505"/>
      <c r="R192" s="505"/>
      <c r="S192" s="505"/>
      <c r="T192" s="505"/>
    </row>
    <row r="193" spans="4:20" ht="15.6">
      <c r="D193" s="575" t="s">
        <v>908</v>
      </c>
      <c r="E193" s="576"/>
      <c r="F193" s="577"/>
      <c r="G193" s="578"/>
      <c r="H193" s="578"/>
      <c r="I193" s="579"/>
      <c r="J193" s="580">
        <f>SUM(J184:J192)</f>
        <v>1.6423451944444443</v>
      </c>
      <c r="L193" s="505"/>
      <c r="M193" s="505"/>
      <c r="N193" s="505"/>
      <c r="O193" s="505"/>
      <c r="P193" s="505"/>
      <c r="Q193" s="505"/>
      <c r="R193" s="505"/>
      <c r="S193" s="505"/>
      <c r="T193" s="505"/>
    </row>
    <row r="194" spans="4:20" ht="15.6">
      <c r="L194" s="505"/>
      <c r="M194" s="505"/>
      <c r="N194" s="505"/>
      <c r="O194" s="505"/>
      <c r="P194" s="505"/>
      <c r="Q194" s="505"/>
      <c r="R194" s="505"/>
      <c r="S194" s="505"/>
      <c r="T194" s="505"/>
    </row>
    <row r="195" spans="4:20" ht="15.6">
      <c r="L195" s="505"/>
      <c r="M195" s="505"/>
      <c r="N195" s="505"/>
      <c r="O195" s="505"/>
      <c r="P195" s="505"/>
      <c r="Q195" s="505"/>
      <c r="R195" s="505"/>
      <c r="S195" s="505"/>
      <c r="T195" s="505"/>
    </row>
    <row r="196" spans="4:20" ht="15.6">
      <c r="L196" s="505"/>
      <c r="M196" s="505"/>
      <c r="N196" s="505"/>
      <c r="O196" s="505"/>
      <c r="P196" s="505"/>
      <c r="Q196" s="505"/>
      <c r="R196" s="505"/>
      <c r="S196" s="505"/>
      <c r="T196" s="505"/>
    </row>
    <row r="197" spans="4:20" ht="15.6">
      <c r="L197" s="505"/>
      <c r="M197" s="505"/>
      <c r="N197" s="505"/>
      <c r="O197" s="505"/>
      <c r="P197" s="505"/>
      <c r="Q197" s="505"/>
      <c r="R197" s="505"/>
      <c r="S197" s="505"/>
      <c r="T197" s="505"/>
    </row>
    <row r="198" spans="4:20"/>
    <row r="199" spans="4:20"/>
    <row r="200" spans="4:20"/>
    <row r="201" spans="4:20"/>
    <row r="202" spans="4:20"/>
    <row r="203" spans="4:20"/>
    <row r="204" spans="4:20"/>
    <row r="205" spans="4:20"/>
    <row r="206" spans="4:20"/>
    <row r="207" spans="4:20"/>
    <row r="208" spans="4:20"/>
    <row r="209"/>
    <row r="210"/>
    <row r="211"/>
    <row r="212"/>
    <row r="213"/>
    <row r="214"/>
    <row r="215"/>
    <row r="216"/>
    <row r="217"/>
    <row r="218"/>
    <row r="219"/>
    <row r="220"/>
    <row r="221"/>
    <row r="222"/>
    <row r="223"/>
    <row r="224"/>
    <row r="225"/>
    <row r="226"/>
    <row r="227"/>
    <row r="228"/>
    <row r="229"/>
    <row r="230"/>
    <row r="231"/>
    <row r="232"/>
    <row r="233"/>
    <row r="234"/>
    <row r="235"/>
    <row r="236"/>
    <row r="237"/>
    <row r="238"/>
    <row r="239"/>
    <row r="240"/>
    <row r="241"/>
    <row r="242"/>
    <row r="243"/>
    <row r="244"/>
    <row r="245"/>
    <row r="246"/>
    <row r="247"/>
    <row r="248"/>
    <row r="249"/>
    <row r="250"/>
    <row r="251"/>
    <row r="252"/>
    <row r="253"/>
    <row r="254"/>
    <row r="255"/>
    <row r="256"/>
    <row r="257"/>
    <row r="258"/>
    <row r="259"/>
    <row r="260"/>
    <row r="261"/>
    <row r="262"/>
    <row r="263"/>
    <row r="264"/>
    <row r="265"/>
    <row r="266"/>
    <row r="267"/>
    <row r="268"/>
    <row r="269"/>
    <row r="270"/>
    <row r="271"/>
    <row r="272"/>
    <row r="273"/>
    <row r="274"/>
    <row r="275"/>
    <row r="276"/>
    <row r="277"/>
    <row r="278"/>
    <row r="279"/>
    <row r="280"/>
    <row r="281"/>
    <row r="282"/>
    <row r="283"/>
    <row r="284"/>
    <row r="285"/>
    <row r="286"/>
    <row r="287"/>
    <row r="288"/>
    <row r="289"/>
    <row r="290"/>
    <row r="291"/>
    <row r="292"/>
    <row r="293"/>
    <row r="294"/>
    <row r="295"/>
    <row r="296"/>
    <row r="297"/>
    <row r="298"/>
    <row r="299"/>
    <row r="300"/>
    <row r="301"/>
    <row r="302"/>
    <row r="303"/>
    <row r="304"/>
    <row r="305"/>
    <row r="306"/>
    <row r="307"/>
    <row r="308"/>
    <row r="309"/>
    <row r="310"/>
    <row r="311"/>
    <row r="312"/>
    <row r="313"/>
    <row r="314"/>
    <row r="315"/>
    <row r="316"/>
    <row r="317"/>
    <row r="318"/>
    <row r="319"/>
    <row r="320"/>
    <row r="321"/>
    <row r="322"/>
    <row r="323"/>
    <row r="324"/>
    <row r="325"/>
    <row r="326"/>
    <row r="327"/>
    <row r="328"/>
    <row r="329"/>
    <row r="330"/>
    <row r="331"/>
    <row r="332"/>
    <row r="333"/>
    <row r="334"/>
    <row r="335"/>
    <row r="336"/>
    <row r="337"/>
    <row r="338"/>
    <row r="339"/>
    <row r="340"/>
    <row r="341"/>
    <row r="342"/>
    <row r="343"/>
    <row r="344"/>
    <row r="345"/>
    <row r="346"/>
    <row r="347"/>
    <row r="348"/>
    <row r="349"/>
    <row r="350"/>
    <row r="351"/>
    <row r="352"/>
    <row r="353"/>
    <row r="354"/>
    <row r="355"/>
    <row r="356"/>
    <row r="357"/>
    <row r="358"/>
    <row r="359"/>
    <row r="360"/>
    <row r="361"/>
    <row r="362"/>
    <row r="363"/>
    <row r="364"/>
    <row r="365"/>
    <row r="366"/>
    <row r="367"/>
    <row r="368"/>
    <row r="369"/>
    <row r="370"/>
    <row r="371"/>
    <row r="372"/>
    <row r="373"/>
    <row r="374"/>
    <row r="375"/>
    <row r="376"/>
    <row r="377"/>
    <row r="378"/>
    <row r="379"/>
    <row r="380"/>
    <row r="381"/>
    <row r="382"/>
    <row r="383"/>
    <row r="384"/>
    <row r="385"/>
    <row r="386"/>
    <row r="387"/>
    <row r="388"/>
    <row r="389"/>
    <row r="390"/>
    <row r="391"/>
    <row r="392"/>
    <row r="393"/>
    <row r="394"/>
    <row r="395"/>
    <row r="396"/>
    <row r="397"/>
    <row r="398"/>
    <row r="399"/>
    <row r="400"/>
    <row r="401"/>
    <row r="402"/>
    <row r="403"/>
    <row r="404"/>
    <row r="405"/>
    <row r="406"/>
    <row r="407"/>
    <row r="408"/>
    <row r="409"/>
    <row r="410"/>
    <row r="411"/>
    <row r="412"/>
    <row r="413"/>
    <row r="414"/>
    <row r="415"/>
    <row r="416"/>
    <row r="417"/>
    <row r="418"/>
    <row r="419"/>
    <row r="420"/>
    <row r="421"/>
    <row r="422"/>
    <row r="423"/>
    <row r="424"/>
    <row r="425"/>
    <row r="426"/>
    <row r="427"/>
    <row r="428"/>
    <row r="429"/>
    <row r="430"/>
    <row r="431"/>
    <row r="432"/>
    <row r="433"/>
    <row r="434"/>
    <row r="435"/>
    <row r="436"/>
    <row r="437"/>
    <row r="438"/>
    <row r="439"/>
    <row r="440"/>
    <row r="441"/>
    <row r="442"/>
    <row r="443"/>
    <row r="444"/>
    <row r="445"/>
    <row r="446"/>
    <row r="447"/>
    <row r="448"/>
    <row r="449"/>
    <row r="450"/>
    <row r="451"/>
    <row r="452"/>
    <row r="453"/>
    <row r="454"/>
    <row r="455"/>
    <row r="456"/>
    <row r="457"/>
    <row r="458"/>
    <row r="459"/>
    <row r="460"/>
    <row r="461"/>
    <row r="462"/>
    <row r="463"/>
    <row r="464"/>
    <row r="465"/>
    <row r="466"/>
    <row r="467"/>
    <row r="468"/>
    <row r="469"/>
    <row r="470"/>
    <row r="471"/>
    <row r="472"/>
    <row r="473"/>
    <row r="474"/>
    <row r="475"/>
    <row r="476"/>
    <row r="477"/>
    <row r="478"/>
    <row r="479"/>
    <row r="480"/>
    <row r="481"/>
    <row r="482"/>
    <row r="483"/>
    <row r="484"/>
    <row r="485"/>
    <row r="486"/>
    <row r="487"/>
    <row r="488"/>
    <row r="489"/>
    <row r="490"/>
    <row r="491"/>
    <row r="492"/>
    <row r="493"/>
    <row r="494"/>
    <row r="495"/>
    <row r="496"/>
    <row r="497"/>
    <row r="498"/>
    <row r="499"/>
    <row r="500"/>
    <row r="501"/>
    <row r="502"/>
    <row r="503"/>
    <row r="504"/>
    <row r="505"/>
    <row r="506"/>
    <row r="507"/>
    <row r="508"/>
    <row r="509"/>
    <row r="510"/>
    <row r="511"/>
    <row r="512"/>
    <row r="513"/>
    <row r="514"/>
    <row r="515"/>
    <row r="516"/>
    <row r="517"/>
    <row r="518"/>
    <row r="519"/>
    <row r="520"/>
    <row r="521"/>
    <row r="522"/>
    <row r="523"/>
    <row r="524"/>
    <row r="525"/>
    <row r="526"/>
    <row r="527"/>
    <row r="528"/>
    <row r="529"/>
    <row r="530"/>
    <row r="531"/>
    <row r="532"/>
    <row r="533"/>
    <row r="534"/>
    <row r="535"/>
    <row r="536"/>
    <row r="537"/>
    <row r="538"/>
    <row r="539"/>
    <row r="540"/>
    <row r="541"/>
    <row r="542"/>
    <row r="543"/>
    <row r="544"/>
    <row r="545"/>
    <row r="546"/>
    <row r="547"/>
    <row r="548"/>
    <row r="549"/>
    <row r="550"/>
    <row r="551"/>
    <row r="552"/>
    <row r="553"/>
    <row r="554"/>
    <row r="555"/>
    <row r="556"/>
    <row r="557"/>
    <row r="558"/>
    <row r="559"/>
    <row r="560"/>
    <row r="561"/>
    <row r="562"/>
    <row r="563"/>
    <row r="564"/>
    <row r="565"/>
    <row r="566"/>
    <row r="567"/>
    <row r="568"/>
    <row r="569"/>
    <row r="570"/>
    <row r="571"/>
    <row r="572"/>
    <row r="573"/>
    <row r="574"/>
    <row r="575"/>
    <row r="576"/>
    <row r="577"/>
    <row r="578"/>
    <row r="579"/>
    <row r="580"/>
    <row r="581"/>
    <row r="582"/>
    <row r="583"/>
    <row r="584"/>
    <row r="585"/>
    <row r="586"/>
    <row r="587"/>
    <row r="588"/>
    <row r="589"/>
    <row r="590"/>
    <row r="591"/>
    <row r="592"/>
    <row r="593"/>
    <row r="594"/>
    <row r="595"/>
    <row r="596"/>
    <row r="597"/>
    <row r="598"/>
    <row r="599"/>
    <row r="600"/>
    <row r="601"/>
    <row r="602"/>
    <row r="603"/>
    <row r="604"/>
    <row r="605"/>
    <row r="606"/>
    <row r="607"/>
    <row r="608"/>
    <row r="609"/>
    <row r="610"/>
    <row r="611"/>
    <row r="612"/>
    <row r="613"/>
    <row r="614"/>
    <row r="615"/>
    <row r="616"/>
    <row r="617"/>
    <row r="618"/>
    <row r="619"/>
    <row r="620"/>
    <row r="621"/>
    <row r="622"/>
    <row r="623"/>
    <row r="624"/>
    <row r="625"/>
    <row r="626"/>
    <row r="627"/>
    <row r="628"/>
    <row r="629"/>
    <row r="630"/>
    <row r="631"/>
    <row r="632"/>
    <row r="633"/>
    <row r="634"/>
    <row r="635"/>
    <row r="636"/>
    <row r="637"/>
    <row r="638"/>
    <row r="639"/>
    <row r="640"/>
    <row r="641"/>
    <row r="642"/>
    <row r="643"/>
    <row r="644"/>
    <row r="645"/>
    <row r="646"/>
    <row r="647"/>
    <row r="648"/>
    <row r="649"/>
    <row r="650"/>
    <row r="651"/>
    <row r="652"/>
    <row r="653"/>
    <row r="654"/>
    <row r="655"/>
    <row r="656"/>
    <row r="657"/>
    <row r="658"/>
    <row r="659"/>
    <row r="660"/>
    <row r="661"/>
    <row r="662"/>
    <row r="663"/>
    <row r="664"/>
    <row r="665"/>
    <row r="666"/>
    <row r="667"/>
    <row r="668"/>
    <row r="669"/>
    <row r="670"/>
    <row r="671"/>
    <row r="672"/>
    <row r="673"/>
    <row r="674"/>
    <row r="675"/>
    <row r="676"/>
    <row r="677"/>
    <row r="678"/>
    <row r="679"/>
    <row r="680"/>
    <row r="681"/>
    <row r="682"/>
    <row r="683"/>
    <row r="684"/>
    <row r="685"/>
    <row r="686"/>
    <row r="687"/>
    <row r="688"/>
    <row r="689"/>
    <row r="690"/>
    <row r="691"/>
    <row r="692"/>
    <row r="693"/>
    <row r="694"/>
    <row r="695"/>
    <row r="696"/>
    <row r="697"/>
    <row r="698"/>
    <row r="699"/>
    <row r="700"/>
    <row r="701"/>
    <row r="702"/>
    <row r="703"/>
    <row r="704"/>
    <row r="705"/>
    <row r="706"/>
    <row r="707"/>
    <row r="708"/>
    <row r="709"/>
    <row r="710"/>
    <row r="711"/>
    <row r="712"/>
    <row r="713"/>
    <row r="714"/>
    <row r="715"/>
    <row r="716"/>
    <row r="717"/>
    <row r="718"/>
    <row r="719"/>
    <row r="720"/>
    <row r="721"/>
    <row r="722"/>
    <row r="723"/>
    <row r="724"/>
    <row r="725"/>
    <row r="726"/>
    <row r="727"/>
    <row r="728"/>
    <row r="729"/>
    <row r="730"/>
    <row r="731"/>
    <row r="732"/>
    <row r="733"/>
    <row r="734"/>
    <row r="735"/>
    <row r="736"/>
    <row r="737"/>
    <row r="738"/>
    <row r="739"/>
    <row r="740"/>
    <row r="741"/>
    <row r="742"/>
    <row r="743"/>
    <row r="744"/>
    <row r="745"/>
    <row r="746"/>
    <row r="747"/>
    <row r="748"/>
    <row r="749"/>
    <row r="750"/>
    <row r="751"/>
    <row r="752"/>
    <row r="753"/>
    <row r="754"/>
    <row r="755"/>
    <row r="756"/>
    <row r="757"/>
    <row r="758"/>
    <row r="759"/>
    <row r="760"/>
    <row r="761"/>
    <row r="762"/>
    <row r="763"/>
    <row r="764"/>
    <row r="765"/>
    <row r="766"/>
    <row r="767"/>
    <row r="768"/>
    <row r="769"/>
    <row r="770"/>
    <row r="771"/>
    <row r="772"/>
    <row r="773"/>
    <row r="774"/>
    <row r="775"/>
    <row r="776"/>
    <row r="777"/>
    <row r="778"/>
    <row r="779"/>
    <row r="780"/>
    <row r="781"/>
    <row r="782"/>
    <row r="783"/>
    <row r="784"/>
    <row r="785"/>
    <row r="786"/>
    <row r="787"/>
    <row r="788"/>
    <row r="789"/>
    <row r="790"/>
    <row r="791"/>
    <row r="792"/>
    <row r="793"/>
    <row r="794"/>
    <row r="795"/>
    <row r="796"/>
    <row r="797"/>
    <row r="798"/>
    <row r="799"/>
    <row r="800"/>
    <row r="801"/>
    <row r="802"/>
    <row r="803"/>
    <row r="804"/>
    <row r="805"/>
    <row r="806"/>
    <row r="807"/>
    <row r="808"/>
    <row r="809"/>
    <row r="810"/>
    <row r="811"/>
    <row r="812"/>
    <row r="813"/>
    <row r="814"/>
    <row r="815"/>
    <row r="816"/>
    <row r="817"/>
    <row r="818"/>
    <row r="819"/>
    <row r="820"/>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55"/>
    <pageSetUpPr fitToPage="1"/>
  </sheetPr>
  <dimension ref="B1:J85"/>
  <sheetViews>
    <sheetView topLeftCell="A40" workbookViewId="0">
      <selection activeCell="D10" sqref="D10"/>
    </sheetView>
  </sheetViews>
  <sheetFormatPr defaultColWidth="9.109375" defaultRowHeight="13.2"/>
  <cols>
    <col min="1" max="2" width="2.88671875" style="466" customWidth="1"/>
    <col min="3" max="3" width="59.88671875" style="466" customWidth="1"/>
    <col min="4" max="4" width="18.44140625" style="466" customWidth="1"/>
    <col min="5" max="5" width="15.33203125" style="466" customWidth="1"/>
    <col min="6" max="6" width="14.88671875" style="466" customWidth="1"/>
    <col min="7" max="7" width="20.88671875" style="466" customWidth="1"/>
    <col min="8" max="8" width="9.109375" style="466" customWidth="1"/>
    <col min="9" max="9" width="14.109375" style="466" customWidth="1"/>
    <col min="10" max="10" width="11.88671875" style="466" customWidth="1"/>
    <col min="11" max="20" width="9.109375" style="466" customWidth="1"/>
    <col min="21" max="16384" width="9.109375" style="466"/>
  </cols>
  <sheetData>
    <row r="1" spans="2:10" s="589" customFormat="1">
      <c r="E1" s="590"/>
    </row>
    <row r="2" spans="2:10" s="589" customFormat="1">
      <c r="C2" s="591" t="str">
        <f ca="1">UPPER(MID(CELL("filename",A1),FIND("[",CELL("filename",A1))+1,FIND("]",CELL("filename",A1))-FIND("[",CELL("filename",A1))-5))</f>
        <v>LPM MB15 - VT TRADITIONEEL 20170201 OBV ULL OPENBAAR.</v>
      </c>
      <c r="E2" s="591"/>
    </row>
    <row r="3" spans="2:10" s="589" customFormat="1">
      <c r="C3" s="589" t="str">
        <f ca="1">UPPER(MID(CELL("filename",A2),FIND("]",CELL("filename",A2))+1,LEN(CELL("filename",A2))))</f>
        <v>INKOOP TARIEF ELEMENTEN</v>
      </c>
      <c r="E3" s="590"/>
    </row>
    <row r="4" spans="2:10" s="592" customFormat="1">
      <c r="E4" s="593"/>
    </row>
    <row r="7" spans="2:10" s="596" customFormat="1">
      <c r="B7" s="594" t="s">
        <v>883</v>
      </c>
      <c r="C7" s="594"/>
      <c r="D7" s="595"/>
    </row>
    <row r="8" spans="2:10" s="597" customFormat="1" ht="15">
      <c r="C8" s="598"/>
      <c r="D8" s="599"/>
      <c r="E8" s="600"/>
      <c r="F8" s="461"/>
    </row>
    <row r="9" spans="2:10" s="597" customFormat="1">
      <c r="C9" s="462" t="s">
        <v>884</v>
      </c>
      <c r="D9" s="601" t="s">
        <v>885</v>
      </c>
      <c r="E9" s="601" t="s">
        <v>47</v>
      </c>
      <c r="F9" s="601" t="s">
        <v>45</v>
      </c>
    </row>
    <row r="10" spans="2:10" s="597" customFormat="1">
      <c r="C10" s="602" t="s">
        <v>886</v>
      </c>
      <c r="D10" s="464">
        <v>14.62</v>
      </c>
      <c r="E10" s="464">
        <v>12.84</v>
      </c>
      <c r="F10" s="463"/>
      <c r="H10" s="603"/>
      <c r="I10" s="603"/>
      <c r="J10" s="603"/>
    </row>
    <row r="11" spans="2:10" s="597" customFormat="1">
      <c r="C11" s="602" t="s">
        <v>887</v>
      </c>
      <c r="D11" s="464">
        <v>17.12</v>
      </c>
      <c r="E11" s="464">
        <v>13.12</v>
      </c>
      <c r="F11" s="464">
        <v>30.31</v>
      </c>
      <c r="H11" s="603"/>
      <c r="I11" s="603"/>
      <c r="J11" s="603"/>
    </row>
    <row r="12" spans="2:10" s="597" customFormat="1">
      <c r="C12" s="602" t="s">
        <v>888</v>
      </c>
      <c r="D12" s="602"/>
      <c r="E12" s="464">
        <v>18.78</v>
      </c>
      <c r="F12" s="602"/>
      <c r="H12" s="603"/>
      <c r="I12" s="603"/>
      <c r="J12" s="603"/>
    </row>
    <row r="13" spans="2:10" s="597" customFormat="1">
      <c r="C13" s="602" t="s">
        <v>889</v>
      </c>
      <c r="D13" s="602"/>
      <c r="E13" s="464">
        <v>70.72</v>
      </c>
      <c r="F13" s="464">
        <v>166.88</v>
      </c>
      <c r="H13" s="603"/>
      <c r="I13" s="603"/>
      <c r="J13" s="603"/>
    </row>
    <row r="14" spans="2:10" s="597" customFormat="1">
      <c r="C14" s="602" t="s">
        <v>890</v>
      </c>
      <c r="D14" s="602"/>
      <c r="E14" s="602"/>
      <c r="F14" s="464">
        <v>69.23</v>
      </c>
      <c r="H14" s="603"/>
      <c r="I14" s="603"/>
      <c r="J14" s="603"/>
    </row>
    <row r="15" spans="2:10" s="597" customFormat="1">
      <c r="C15" s="602" t="s">
        <v>891</v>
      </c>
      <c r="D15" s="602"/>
      <c r="E15" s="464">
        <v>310.33999999999997</v>
      </c>
      <c r="F15" s="463"/>
      <c r="H15" s="603"/>
      <c r="I15" s="603"/>
      <c r="J15" s="603"/>
    </row>
    <row r="16" spans="2:10" s="597" customFormat="1">
      <c r="C16" s="602" t="s">
        <v>892</v>
      </c>
      <c r="D16" s="602"/>
      <c r="E16" s="464">
        <v>540.58000000000004</v>
      </c>
      <c r="F16" s="463"/>
      <c r="H16" s="603"/>
      <c r="I16" s="603"/>
      <c r="J16" s="603"/>
    </row>
    <row r="17" spans="2:10" s="597" customFormat="1">
      <c r="C17" s="602" t="s">
        <v>893</v>
      </c>
      <c r="D17" s="602"/>
      <c r="E17" s="602"/>
      <c r="F17" s="464">
        <v>754.48</v>
      </c>
      <c r="H17" s="603"/>
      <c r="I17" s="603"/>
      <c r="J17" s="603"/>
    </row>
    <row r="18" spans="2:10" s="597" customFormat="1">
      <c r="C18" s="602" t="s">
        <v>894</v>
      </c>
      <c r="D18" s="602"/>
      <c r="E18" s="463"/>
      <c r="F18" s="464">
        <v>656.85</v>
      </c>
      <c r="H18" s="603"/>
      <c r="I18" s="603"/>
      <c r="J18" s="603"/>
    </row>
    <row r="19" spans="2:10" s="597" customFormat="1">
      <c r="C19" s="598"/>
      <c r="D19" s="599"/>
      <c r="E19" s="604"/>
      <c r="F19" s="465"/>
    </row>
    <row r="20" spans="2:10" s="597" customFormat="1">
      <c r="C20" s="462" t="s">
        <v>895</v>
      </c>
      <c r="D20" s="462"/>
      <c r="E20" s="462" t="s">
        <v>896</v>
      </c>
      <c r="F20" s="465"/>
    </row>
    <row r="21" spans="2:10">
      <c r="C21" s="467" t="s">
        <v>897</v>
      </c>
      <c r="D21" s="467" t="s">
        <v>47</v>
      </c>
      <c r="E21" s="464">
        <v>6.17</v>
      </c>
    </row>
    <row r="22" spans="2:10">
      <c r="C22" s="467" t="s">
        <v>897</v>
      </c>
      <c r="D22" s="467" t="s">
        <v>885</v>
      </c>
      <c r="E22" s="464">
        <v>10.17</v>
      </c>
    </row>
    <row r="23" spans="2:10">
      <c r="C23" s="467" t="s">
        <v>897</v>
      </c>
      <c r="D23" s="467" t="s">
        <v>45</v>
      </c>
      <c r="E23" s="464">
        <v>15.46</v>
      </c>
    </row>
    <row r="24" spans="2:10" s="597" customFormat="1" ht="15">
      <c r="C24" s="598"/>
      <c r="D24" s="599"/>
      <c r="E24" s="600"/>
      <c r="F24" s="461"/>
    </row>
    <row r="25" spans="2:10">
      <c r="C25" s="462" t="s">
        <v>4</v>
      </c>
      <c r="D25" s="462"/>
      <c r="E25" s="462" t="s">
        <v>898</v>
      </c>
    </row>
    <row r="26" spans="2:10">
      <c r="C26" s="467" t="s">
        <v>899</v>
      </c>
      <c r="D26" s="467" t="s">
        <v>47</v>
      </c>
      <c r="E26" s="464">
        <v>7.92</v>
      </c>
    </row>
    <row r="27" spans="2:10">
      <c r="C27" s="467" t="s">
        <v>900</v>
      </c>
      <c r="D27" s="467" t="s">
        <v>885</v>
      </c>
      <c r="E27" s="464">
        <v>0.1111</v>
      </c>
    </row>
    <row r="28" spans="2:10">
      <c r="C28" s="467" t="s">
        <v>901</v>
      </c>
      <c r="D28" s="467" t="s">
        <v>45</v>
      </c>
      <c r="E28" s="464">
        <v>10.119999999999999</v>
      </c>
    </row>
    <row r="29" spans="2:10">
      <c r="C29" s="473"/>
      <c r="D29" s="473"/>
      <c r="E29" s="472"/>
    </row>
    <row r="30" spans="2:10" s="596" customFormat="1">
      <c r="B30" s="594" t="s">
        <v>909</v>
      </c>
      <c r="C30" s="594"/>
      <c r="D30" s="595"/>
    </row>
    <row r="31" spans="2:10">
      <c r="C31" s="473"/>
      <c r="D31" s="473"/>
      <c r="E31" s="472"/>
    </row>
    <row r="32" spans="2:10">
      <c r="C32" s="473"/>
      <c r="D32" s="473"/>
      <c r="E32" s="462" t="s">
        <v>896</v>
      </c>
    </row>
    <row r="33" spans="2:9">
      <c r="C33" s="462" t="s">
        <v>910</v>
      </c>
      <c r="D33" s="467"/>
      <c r="E33" s="464">
        <v>2.0099999999999998</v>
      </c>
    </row>
    <row r="34" spans="2:9">
      <c r="C34" s="473"/>
      <c r="D34" s="473"/>
      <c r="E34" s="472"/>
    </row>
    <row r="35" spans="2:9" s="596" customFormat="1">
      <c r="B35" s="594" t="s">
        <v>911</v>
      </c>
      <c r="C35" s="594"/>
      <c r="D35" s="595"/>
    </row>
    <row r="36" spans="2:9">
      <c r="C36" s="473"/>
      <c r="D36" s="473"/>
      <c r="E36" s="472"/>
    </row>
    <row r="37" spans="2:9">
      <c r="C37" s="462" t="s">
        <v>4</v>
      </c>
      <c r="D37" s="462"/>
      <c r="E37" s="462" t="s">
        <v>898</v>
      </c>
    </row>
    <row r="38" spans="2:9">
      <c r="C38" s="467" t="s">
        <v>912</v>
      </c>
      <c r="D38" s="467"/>
      <c r="E38" s="464">
        <v>2.38</v>
      </c>
      <c r="H38" s="603"/>
      <c r="I38" s="603"/>
    </row>
    <row r="39" spans="2:9">
      <c r="C39" s="467" t="s">
        <v>913</v>
      </c>
      <c r="D39" s="467"/>
      <c r="E39" s="464">
        <v>5.34</v>
      </c>
      <c r="I39" s="603"/>
    </row>
    <row r="40" spans="2:9">
      <c r="C40" s="473"/>
      <c r="D40" s="473"/>
      <c r="E40" s="472"/>
    </row>
    <row r="41" spans="2:9" s="596" customFormat="1">
      <c r="B41" s="594" t="s">
        <v>1106</v>
      </c>
      <c r="C41" s="594"/>
      <c r="D41" s="595"/>
    </row>
    <row r="43" spans="2:9">
      <c r="C43" s="476"/>
    </row>
    <row r="44" spans="2:9">
      <c r="C44" s="476"/>
    </row>
    <row r="45" spans="2:9">
      <c r="C45" s="462" t="s">
        <v>5</v>
      </c>
      <c r="D45" s="475"/>
      <c r="E45" s="462" t="s">
        <v>896</v>
      </c>
    </row>
    <row r="46" spans="2:9">
      <c r="C46" s="467" t="s">
        <v>914</v>
      </c>
      <c r="D46" s="475"/>
      <c r="E46" s="477">
        <f>89.02+12</f>
        <v>101.02</v>
      </c>
      <c r="F46" s="478"/>
    </row>
    <row r="47" spans="2:9">
      <c r="C47" s="467" t="s">
        <v>915</v>
      </c>
      <c r="D47" s="475"/>
      <c r="E47" s="477">
        <v>29.5</v>
      </c>
    </row>
    <row r="48" spans="2:9">
      <c r="C48" s="467" t="s">
        <v>916</v>
      </c>
      <c r="D48" s="475"/>
      <c r="E48" s="477">
        <v>13</v>
      </c>
    </row>
    <row r="49" spans="3:5">
      <c r="C49" s="476"/>
    </row>
    <row r="50" spans="3:5">
      <c r="C50" s="462" t="s">
        <v>4</v>
      </c>
      <c r="D50" s="462"/>
      <c r="E50" s="462" t="s">
        <v>898</v>
      </c>
    </row>
    <row r="51" spans="3:5">
      <c r="C51" s="470" t="s">
        <v>917</v>
      </c>
      <c r="D51" s="475"/>
      <c r="E51" s="464">
        <v>17.02</v>
      </c>
    </row>
    <row r="52" spans="3:5">
      <c r="C52" s="471"/>
      <c r="E52" s="472"/>
    </row>
    <row r="53" spans="3:5">
      <c r="C53" s="605" t="s">
        <v>918</v>
      </c>
      <c r="E53" s="606"/>
    </row>
    <row r="54" spans="3:5">
      <c r="C54" s="602" t="s">
        <v>919</v>
      </c>
      <c r="D54" s="475"/>
      <c r="E54" s="607">
        <v>8.9599999999999999E-2</v>
      </c>
    </row>
    <row r="55" spans="3:5">
      <c r="C55" s="471"/>
      <c r="E55" s="472"/>
    </row>
    <row r="56" spans="3:5">
      <c r="C56" s="462" t="s">
        <v>4</v>
      </c>
      <c r="D56" s="462"/>
      <c r="E56" s="462" t="s">
        <v>898</v>
      </c>
    </row>
    <row r="57" spans="3:5">
      <c r="C57" s="602" t="s">
        <v>920</v>
      </c>
      <c r="D57" s="475"/>
      <c r="E57" s="464">
        <v>12.5</v>
      </c>
    </row>
    <row r="58" spans="3:5">
      <c r="C58" s="608"/>
      <c r="D58" s="479"/>
      <c r="E58" s="479"/>
    </row>
    <row r="59" spans="3:5">
      <c r="C59" s="462" t="s">
        <v>5</v>
      </c>
      <c r="D59" s="475"/>
      <c r="E59" s="462" t="s">
        <v>896</v>
      </c>
    </row>
    <row r="60" spans="3:5">
      <c r="C60" s="602" t="s">
        <v>921</v>
      </c>
      <c r="D60" s="475"/>
      <c r="E60" s="464">
        <v>36.799999999999997</v>
      </c>
    </row>
    <row r="61" spans="3:5">
      <c r="C61" s="471"/>
      <c r="E61" s="472"/>
    </row>
    <row r="62" spans="3:5">
      <c r="C62" s="474" t="s">
        <v>922</v>
      </c>
    </row>
    <row r="64" spans="3:5">
      <c r="C64" s="462" t="s">
        <v>5</v>
      </c>
      <c r="D64" s="475"/>
      <c r="E64" s="462" t="s">
        <v>896</v>
      </c>
    </row>
    <row r="65" spans="3:6">
      <c r="C65" s="467" t="s">
        <v>923</v>
      </c>
      <c r="D65" s="475"/>
      <c r="E65" s="477">
        <v>3338.23</v>
      </c>
    </row>
    <row r="66" spans="3:6">
      <c r="C66" s="467" t="s">
        <v>924</v>
      </c>
      <c r="D66" s="475"/>
      <c r="E66" s="477">
        <v>2.5000000000000001E-2</v>
      </c>
      <c r="F66" s="480"/>
    </row>
    <row r="67" spans="3:6">
      <c r="C67" s="473"/>
      <c r="E67" s="481"/>
    </row>
    <row r="68" spans="3:6">
      <c r="C68" s="462" t="s">
        <v>4</v>
      </c>
      <c r="D68" s="462"/>
      <c r="E68" s="462" t="s">
        <v>898</v>
      </c>
    </row>
    <row r="69" spans="3:6">
      <c r="C69" s="470" t="s">
        <v>925</v>
      </c>
      <c r="D69" s="475"/>
      <c r="E69" s="464">
        <v>667.64</v>
      </c>
    </row>
    <row r="70" spans="3:6">
      <c r="C70" s="470" t="s">
        <v>926</v>
      </c>
      <c r="D70" s="475"/>
      <c r="E70" s="464">
        <v>556.37</v>
      </c>
    </row>
    <row r="71" spans="3:6">
      <c r="C71" s="470" t="s">
        <v>927</v>
      </c>
      <c r="D71" s="475"/>
      <c r="E71" s="464">
        <f>0.8</f>
        <v>0.8</v>
      </c>
    </row>
    <row r="72" spans="3:6">
      <c r="C72" s="471"/>
      <c r="E72" s="472"/>
    </row>
    <row r="73" spans="3:6">
      <c r="C73" s="462" t="s">
        <v>907</v>
      </c>
      <c r="D73" s="462"/>
      <c r="E73" s="462" t="s">
        <v>898</v>
      </c>
    </row>
    <row r="74" spans="3:6">
      <c r="C74" s="467" t="s">
        <v>923</v>
      </c>
      <c r="D74" s="475"/>
      <c r="E74" s="463">
        <f>($E$65/'Parameters ULL'!$E$39/('Parameters ULL'!$E$38*'Parameters ULL'!$E$42)/(12*'Parameters ULL'!$E$40))</f>
        <v>5.563716666666667E-5</v>
      </c>
    </row>
    <row r="75" spans="3:6">
      <c r="C75" s="470" t="s">
        <v>925</v>
      </c>
      <c r="D75" s="475"/>
      <c r="E75" s="463">
        <f>$E$69/('Parameters ULL'!$E$42*'Parameters ULL'!$E$37)</f>
        <v>6.6763999999999999E-3</v>
      </c>
    </row>
    <row r="76" spans="3:6">
      <c r="C76" s="470" t="s">
        <v>926</v>
      </c>
      <c r="D76" s="475"/>
      <c r="E76" s="463">
        <f>$E$70/('Parameters ULL'!$E$42*'Parameters ULL'!$E$37)</f>
        <v>5.5637000000000004E-3</v>
      </c>
    </row>
    <row r="77" spans="3:6">
      <c r="C77" s="470" t="s">
        <v>927</v>
      </c>
      <c r="D77" s="475"/>
      <c r="E77" s="463">
        <f>E71</f>
        <v>0.8</v>
      </c>
    </row>
    <row r="78" spans="3:6">
      <c r="C78" s="470" t="s">
        <v>928</v>
      </c>
      <c r="D78" s="475"/>
      <c r="E78" s="463">
        <f>$E$66/(12*'Parameters ULL'!$E$41)</f>
        <v>4.1666666666666672E-5</v>
      </c>
    </row>
    <row r="79" spans="3:6">
      <c r="C79" s="470" t="s">
        <v>922</v>
      </c>
      <c r="D79" s="475"/>
      <c r="E79" s="463">
        <f>SUM(E74:E78)</f>
        <v>0.81233740383333342</v>
      </c>
    </row>
    <row r="80" spans="3:6">
      <c r="C80" s="471"/>
      <c r="E80" s="472"/>
    </row>
    <row r="81" spans="2:5">
      <c r="C81" s="471"/>
      <c r="D81" s="479"/>
      <c r="E81" s="472"/>
    </row>
    <row r="82" spans="2:5">
      <c r="C82" s="471"/>
      <c r="D82" s="479"/>
      <c r="E82" s="472"/>
    </row>
    <row r="83" spans="2:5">
      <c r="C83" s="473"/>
      <c r="D83" s="473"/>
      <c r="E83" s="472"/>
    </row>
    <row r="84" spans="2:5">
      <c r="C84" s="482"/>
      <c r="D84" s="483"/>
    </row>
    <row r="85" spans="2:5" s="596" customFormat="1">
      <c r="B85" s="594" t="s">
        <v>929</v>
      </c>
      <c r="C85" s="594"/>
      <c r="D85" s="595"/>
    </row>
  </sheetData>
  <pageMargins left="0.75" right="0.75" top="1" bottom="1" header="0.5" footer="0.5"/>
  <pageSetup paperSize="9" scale="68" fitToHeight="9"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R211"/>
  <sheetViews>
    <sheetView topLeftCell="I1" workbookViewId="0">
      <selection activeCell="L9" sqref="L9"/>
    </sheetView>
  </sheetViews>
  <sheetFormatPr defaultColWidth="10.33203125" defaultRowHeight="13.2" zeroHeight="1"/>
  <cols>
    <col min="1" max="1" width="45.88671875" style="597" bestFit="1" customWidth="1"/>
    <col min="2" max="2" width="3.5546875" style="597" customWidth="1"/>
    <col min="3" max="3" width="26.109375" style="597" customWidth="1"/>
    <col min="4" max="4" width="20.44140625" style="597" customWidth="1"/>
    <col min="5" max="5" width="13.44140625" style="597" customWidth="1"/>
    <col min="6" max="6" width="19.5546875" style="597" customWidth="1"/>
    <col min="7" max="7" width="30.33203125" style="597" customWidth="1"/>
    <col min="8" max="9" width="15.5546875" style="597" bestFit="1" customWidth="1"/>
    <col min="10" max="14" width="15.5546875" style="597" customWidth="1"/>
    <col min="15" max="15" width="21.6640625" style="597" customWidth="1"/>
    <col min="16" max="16" width="15.88671875" style="597" customWidth="1"/>
    <col min="17" max="17" width="15.5546875" style="597" bestFit="1" customWidth="1"/>
    <col min="18" max="16384" width="10.33203125" style="597"/>
  </cols>
  <sheetData>
    <row r="1" spans="1:18" s="589" customFormat="1"/>
    <row r="2" spans="1:18" s="589" customFormat="1">
      <c r="C2" s="591" t="str">
        <f ca="1">UPPER(MID(CELL("filename",A1),FIND("[",CELL("filename",A1))+1,FIND("]",CELL("filename",A1))-FIND("[",CELL("filename",A1))-5))</f>
        <v>LPM MB15 - VT TRADITIONEEL 20170201 OBV ULL OPENBAAR.</v>
      </c>
      <c r="D2" s="591"/>
      <c r="E2" s="591"/>
      <c r="F2" s="591"/>
      <c r="G2" s="591"/>
    </row>
    <row r="3" spans="1:18" s="589" customFormat="1">
      <c r="C3" s="589" t="str">
        <f ca="1">UPPER(MID(CELL("filename",A2),FIND("]",CELL("filename",A2))+1,LEN(CELL("filename",A2))))</f>
        <v>INKOOP PSTN</v>
      </c>
    </row>
    <row r="4" spans="1:18" s="592" customFormat="1"/>
    <row r="5" spans="1:18" s="611" customFormat="1">
      <c r="A5" s="597"/>
      <c r="B5" s="597"/>
      <c r="C5" s="609"/>
      <c r="D5" s="609"/>
      <c r="E5" s="609"/>
      <c r="F5" s="609"/>
      <c r="G5" s="610"/>
    </row>
    <row r="6" spans="1:18" s="611" customFormat="1" ht="13.8" thickBot="1">
      <c r="A6" s="597"/>
      <c r="B6" s="597"/>
      <c r="C6" s="609"/>
      <c r="D6" s="609"/>
      <c r="E6" s="609"/>
      <c r="F6" s="609"/>
      <c r="G6" s="610"/>
    </row>
    <row r="7" spans="1:18" s="611" customFormat="1">
      <c r="A7" s="597"/>
      <c r="B7" s="597"/>
      <c r="C7" s="609"/>
      <c r="D7" s="609"/>
      <c r="E7" s="609" t="s">
        <v>1107</v>
      </c>
      <c r="F7" s="612">
        <f>COUNTA($C$13:$C$4609)</f>
        <v>4</v>
      </c>
      <c r="G7" s="610"/>
      <c r="H7" s="613"/>
      <c r="I7" s="614"/>
      <c r="J7" s="615"/>
      <c r="K7" s="613"/>
      <c r="L7" s="614"/>
      <c r="M7" s="614"/>
      <c r="N7" s="614"/>
      <c r="O7" s="614"/>
      <c r="P7" s="615"/>
      <c r="Q7" s="1033" t="s">
        <v>1111</v>
      </c>
      <c r="R7" s="1034"/>
    </row>
    <row r="8" spans="1:18" s="611" customFormat="1">
      <c r="A8" s="597"/>
      <c r="B8" s="597"/>
      <c r="C8" s="609"/>
      <c r="D8" s="609"/>
      <c r="G8" s="610"/>
      <c r="H8" s="616"/>
      <c r="I8" s="617"/>
      <c r="J8" s="618"/>
      <c r="K8" s="616"/>
      <c r="L8" s="617"/>
      <c r="M8" s="617"/>
      <c r="N8" s="617"/>
      <c r="O8" s="617"/>
      <c r="P8" s="618"/>
      <c r="Q8" s="1035"/>
      <c r="R8" s="1036"/>
    </row>
    <row r="9" spans="1:18" s="611" customFormat="1">
      <c r="A9" s="597"/>
      <c r="B9" s="619"/>
      <c r="C9" s="620"/>
      <c r="D9" s="620"/>
      <c r="E9" s="620"/>
      <c r="F9" s="620"/>
      <c r="G9" s="620"/>
      <c r="H9" s="621" t="s">
        <v>1108</v>
      </c>
      <c r="I9" s="622" t="s">
        <v>1108</v>
      </c>
      <c r="J9" s="623" t="s">
        <v>1108</v>
      </c>
      <c r="K9" s="621" t="s">
        <v>1109</v>
      </c>
      <c r="L9" s="622" t="s">
        <v>1109</v>
      </c>
      <c r="M9" s="622" t="s">
        <v>1109</v>
      </c>
      <c r="N9" s="622" t="s">
        <v>1109</v>
      </c>
      <c r="O9" s="619" t="s">
        <v>1110</v>
      </c>
      <c r="P9" s="624" t="s">
        <v>1109</v>
      </c>
      <c r="Q9" s="1037"/>
      <c r="R9" s="1038"/>
    </row>
    <row r="10" spans="1:18" s="611" customFormat="1" ht="26.4">
      <c r="A10" s="597"/>
      <c r="B10" s="619"/>
      <c r="C10" s="625" t="s">
        <v>1112</v>
      </c>
      <c r="D10" s="625" t="s">
        <v>1113</v>
      </c>
      <c r="E10" s="625" t="s">
        <v>1114</v>
      </c>
      <c r="F10" s="625"/>
      <c r="G10" s="625" t="s">
        <v>1115</v>
      </c>
      <c r="H10" s="626" t="s">
        <v>1116</v>
      </c>
      <c r="I10" s="627" t="s">
        <v>1117</v>
      </c>
      <c r="J10" s="628" t="s">
        <v>1118</v>
      </c>
      <c r="K10" s="629" t="s">
        <v>902</v>
      </c>
      <c r="L10" s="627" t="s">
        <v>1115</v>
      </c>
      <c r="M10" s="627" t="s">
        <v>1119</v>
      </c>
      <c r="N10" s="627" t="s">
        <v>1120</v>
      </c>
      <c r="O10" s="630" t="s">
        <v>1121</v>
      </c>
      <c r="P10" s="631" t="s">
        <v>1122</v>
      </c>
      <c r="Q10" s="632" t="s">
        <v>1273</v>
      </c>
      <c r="R10" s="632" t="s">
        <v>1274</v>
      </c>
    </row>
    <row r="11" spans="1:18" s="611" customFormat="1">
      <c r="A11" s="597"/>
      <c r="B11" s="597"/>
      <c r="C11" s="597"/>
      <c r="D11" s="597"/>
      <c r="E11" s="597"/>
      <c r="F11" s="597"/>
      <c r="G11" s="597"/>
      <c r="H11" s="633"/>
      <c r="I11" s="634"/>
      <c r="J11" s="635"/>
      <c r="K11" s="636"/>
      <c r="L11" s="634"/>
      <c r="M11" s="634"/>
      <c r="N11" s="634"/>
      <c r="O11" s="634"/>
      <c r="P11" s="635"/>
      <c r="Q11" s="637"/>
      <c r="R11" s="637"/>
    </row>
    <row r="12" spans="1:18" s="611" customFormat="1" ht="15.6">
      <c r="A12" s="597" t="s">
        <v>1123</v>
      </c>
      <c r="B12" s="597"/>
      <c r="C12" s="638" t="s">
        <v>463</v>
      </c>
      <c r="D12" s="638"/>
      <c r="E12" s="638"/>
      <c r="F12" s="638"/>
      <c r="G12" s="597"/>
      <c r="H12" s="633"/>
      <c r="I12" s="634"/>
      <c r="J12" s="635"/>
      <c r="K12" s="636"/>
      <c r="L12" s="634"/>
      <c r="M12" s="634"/>
      <c r="N12" s="634"/>
      <c r="O12" s="634"/>
      <c r="P12" s="635"/>
      <c r="Q12" s="637"/>
      <c r="R12" s="637"/>
    </row>
    <row r="13" spans="1:18">
      <c r="A13" s="597" t="str">
        <f>C13&amp;D13&amp;E13&amp;G13</f>
        <v>PSTNNLS type 1/2/3non-sharedStandard</v>
      </c>
      <c r="C13" s="639" t="s">
        <v>463</v>
      </c>
      <c r="D13" s="639" t="s">
        <v>1124</v>
      </c>
      <c r="E13" s="639" t="s">
        <v>47</v>
      </c>
      <c r="F13" s="640"/>
      <c r="G13" s="639" t="s">
        <v>1125</v>
      </c>
      <c r="H13" s="641">
        <f>IF(D13="NLS type 1/2/3",'Parameters ULL'!$E$28,'Inkoop tarief elementen'!$E$11)/'Parameters ULL'!$E$10</f>
        <v>1.9644444444444444</v>
      </c>
      <c r="I13" s="642">
        <f>INDEX('Inkoop tarief elementen'!$E$21:$E$23,MATCH(E13,'Inkoop tarief elementen'!$D$21:$D$23,0))/'Parameters ULL'!$E$10</f>
        <v>0.1713888888888889</v>
      </c>
      <c r="J13" s="643">
        <f>SUM(H13:I13)</f>
        <v>2.1358333333333333</v>
      </c>
      <c r="K13" s="641">
        <f>INDEX('Inkoop tarief elementen'!$E$26:$E$28,MATCH($E13,'Inkoop tarief elementen'!$D$26:$D$28,0))</f>
        <v>7.92</v>
      </c>
      <c r="L13" s="642">
        <f>IF(G13="7x24 repairtime 8h",'Inkoop tarief elementen'!$E$38,0)</f>
        <v>0</v>
      </c>
      <c r="M13" s="642">
        <f>'Inkoop tarief elementen'!$E$33/'Parameters ULL'!$E$10</f>
        <v>5.5833333333333325E-2</v>
      </c>
      <c r="N13" s="642">
        <f>collocatie!$J$161</f>
        <v>1.0592552722222219</v>
      </c>
      <c r="O13" s="642">
        <f>'EDC minus lijst ULL'!$D$36+'EDC minus lijst ULL'!$E$36</f>
        <v>0.2</v>
      </c>
      <c r="P13" s="643">
        <f>SUM(K13:O13)</f>
        <v>9.2350886055555534</v>
      </c>
      <c r="Q13" s="644">
        <f>P13</f>
        <v>9.2350886055555534</v>
      </c>
      <c r="R13" s="1107">
        <f>J13*'Parameters ULL'!$E$10</f>
        <v>76.89</v>
      </c>
    </row>
    <row r="14" spans="1:18">
      <c r="A14" s="597" t="str">
        <f t="shared" ref="A14:A16" si="0">C14&amp;D14&amp;E14&amp;G14</f>
        <v>PSTNNLS type 1/2/3non-shared7x24 repairtime 8h</v>
      </c>
      <c r="C14" s="639" t="s">
        <v>463</v>
      </c>
      <c r="D14" s="639" t="s">
        <v>1124</v>
      </c>
      <c r="E14" s="639" t="s">
        <v>47</v>
      </c>
      <c r="F14" s="640"/>
      <c r="G14" s="639" t="s">
        <v>1126</v>
      </c>
      <c r="H14" s="641">
        <f>IF(D14="NLS type 1/2/3",'Parameters ULL'!$E$28,'Inkoop tarief elementen'!$E$11)/'Parameters ULL'!$E$10</f>
        <v>1.9644444444444444</v>
      </c>
      <c r="I14" s="642">
        <f>INDEX('Inkoop tarief elementen'!$E$21:$E$23,MATCH(E14,'Inkoop tarief elementen'!$D$21:$D$23,0))/'Parameters ULL'!$E$10</f>
        <v>0.1713888888888889</v>
      </c>
      <c r="J14" s="643">
        <f t="shared" ref="J14:J16" si="1">SUM(H14:I14)</f>
        <v>2.1358333333333333</v>
      </c>
      <c r="K14" s="641">
        <f>INDEX('Inkoop tarief elementen'!$E$26:$E$28,MATCH($E14,'Inkoop tarief elementen'!$D$26:$D$28,0))</f>
        <v>7.92</v>
      </c>
      <c r="L14" s="642">
        <f>IF(G14="7x24 repairtime 8h",'Inkoop tarief elementen'!$E$38,0)</f>
        <v>2.38</v>
      </c>
      <c r="M14" s="642">
        <f>'Inkoop tarief elementen'!$E$33/'Parameters ULL'!$E$10</f>
        <v>5.5833333333333325E-2</v>
      </c>
      <c r="N14" s="642">
        <f>collocatie!$J$161</f>
        <v>1.0592552722222219</v>
      </c>
      <c r="O14" s="642">
        <f>'EDC minus lijst ULL'!$D$36+'EDC minus lijst ULL'!$E$36</f>
        <v>0.2</v>
      </c>
      <c r="P14" s="643">
        <f>SUM(K14:O14)</f>
        <v>11.615088605555556</v>
      </c>
      <c r="Q14" s="644">
        <f t="shared" ref="Q14:Q16" si="2">P14</f>
        <v>11.615088605555556</v>
      </c>
      <c r="R14" s="1107">
        <f>J14*'Parameters ULL'!$E$10</f>
        <v>76.89</v>
      </c>
    </row>
    <row r="15" spans="1:18">
      <c r="A15" s="597" t="str">
        <f t="shared" si="0"/>
        <v>PSTNtelco-telconon-sharedStandard</v>
      </c>
      <c r="C15" s="639" t="s">
        <v>463</v>
      </c>
      <c r="D15" s="639" t="s">
        <v>887</v>
      </c>
      <c r="E15" s="639" t="s">
        <v>47</v>
      </c>
      <c r="F15" s="640"/>
      <c r="G15" s="639" t="s">
        <v>1125</v>
      </c>
      <c r="H15" s="641">
        <f>IF(D15="NLS type 1/2/3",'Parameters ULL'!$E$28,'Inkoop tarief elementen'!$E$11)/'Parameters ULL'!$E$10</f>
        <v>0.3644444444444444</v>
      </c>
      <c r="I15" s="642">
        <f>INDEX('Inkoop tarief elementen'!$E$21:$E$23,MATCH(E15,'Inkoop tarief elementen'!$D$21:$D$23,0))/'Parameters ULL'!$E$10</f>
        <v>0.1713888888888889</v>
      </c>
      <c r="J15" s="643">
        <f t="shared" si="1"/>
        <v>0.53583333333333327</v>
      </c>
      <c r="K15" s="641">
        <f>INDEX('Inkoop tarief elementen'!$E$26:$E$28,MATCH($E15,'Inkoop tarief elementen'!$D$26:$D$28,0))</f>
        <v>7.92</v>
      </c>
      <c r="L15" s="642">
        <f>IF(G15="7x24 repairtime 8h",'Inkoop tarief elementen'!$E$38,0)</f>
        <v>0</v>
      </c>
      <c r="M15" s="642">
        <f>'Inkoop tarief elementen'!$E$33/'Parameters ULL'!$E$10</f>
        <v>5.5833333333333325E-2</v>
      </c>
      <c r="N15" s="642">
        <f>collocatie!$J$161</f>
        <v>1.0592552722222219</v>
      </c>
      <c r="O15" s="642">
        <f>'EDC minus lijst ULL'!$D$36+'EDC minus lijst ULL'!$E$36</f>
        <v>0.2</v>
      </c>
      <c r="P15" s="643">
        <f>SUM(K15:O15)</f>
        <v>9.2350886055555534</v>
      </c>
      <c r="Q15" s="644">
        <f t="shared" si="2"/>
        <v>9.2350886055555534</v>
      </c>
      <c r="R15" s="1107">
        <f>J15*'Parameters ULL'!$E$10</f>
        <v>19.29</v>
      </c>
    </row>
    <row r="16" spans="1:18">
      <c r="A16" s="597" t="str">
        <f t="shared" si="0"/>
        <v>PSTNtelco-telconon-shared7x24 repairtime 8h</v>
      </c>
      <c r="C16" s="639" t="s">
        <v>463</v>
      </c>
      <c r="D16" s="639" t="s">
        <v>887</v>
      </c>
      <c r="E16" s="639" t="s">
        <v>47</v>
      </c>
      <c r="F16" s="640"/>
      <c r="G16" s="639" t="s">
        <v>1126</v>
      </c>
      <c r="H16" s="641">
        <f>IF(D16="NLS type 1/2/3",'Parameters ULL'!$E$28,'Inkoop tarief elementen'!$E$11)/'Parameters ULL'!$E$10</f>
        <v>0.3644444444444444</v>
      </c>
      <c r="I16" s="642">
        <f>INDEX('Inkoop tarief elementen'!$E$21:$E$23,MATCH(E16,'Inkoop tarief elementen'!$D$21:$D$23,0))/'Parameters ULL'!$E$10</f>
        <v>0.1713888888888889</v>
      </c>
      <c r="J16" s="643">
        <f t="shared" si="1"/>
        <v>0.53583333333333327</v>
      </c>
      <c r="K16" s="641">
        <f>INDEX('Inkoop tarief elementen'!$E$26:$E$28,MATCH($E16,'Inkoop tarief elementen'!$D$26:$D$28,0))</f>
        <v>7.92</v>
      </c>
      <c r="L16" s="642">
        <f>IF(G16="7x24 repairtime 8h",'Inkoop tarief elementen'!$E$38,0)</f>
        <v>2.38</v>
      </c>
      <c r="M16" s="642">
        <f>'Inkoop tarief elementen'!$E$33/'Parameters ULL'!$E$10</f>
        <v>5.5833333333333325E-2</v>
      </c>
      <c r="N16" s="642">
        <f>collocatie!$J$161</f>
        <v>1.0592552722222219</v>
      </c>
      <c r="O16" s="642">
        <f>'EDC minus lijst ULL'!$D$36+'EDC minus lijst ULL'!$E$36</f>
        <v>0.2</v>
      </c>
      <c r="P16" s="643">
        <f>SUM(K16:O16)</f>
        <v>11.615088605555556</v>
      </c>
      <c r="Q16" s="644">
        <f t="shared" si="2"/>
        <v>11.615088605555556</v>
      </c>
      <c r="R16" s="1107">
        <f>J16*'Parameters ULL'!$E$10</f>
        <v>19.29</v>
      </c>
    </row>
    <row r="17" spans="8:8"/>
    <row r="18" spans="8:8"/>
    <row r="19" spans="8:8">
      <c r="H19" s="661"/>
    </row>
    <row r="20" spans="8:8"/>
    <row r="21" spans="8:8"/>
    <row r="22" spans="8:8"/>
    <row r="23" spans="8:8"/>
    <row r="24" spans="8:8"/>
    <row r="25" spans="8:8"/>
    <row r="26" spans="8:8"/>
    <row r="27" spans="8:8"/>
    <row r="28" spans="8:8"/>
    <row r="29" spans="8:8"/>
    <row r="30" spans="8:8"/>
    <row r="31" spans="8:8"/>
    <row r="32" spans="8:8"/>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sheetData>
  <autoFilter ref="C10:Q16"/>
  <mergeCells count="1">
    <mergeCell ref="Q7:R9"/>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R211"/>
  <sheetViews>
    <sheetView topLeftCell="H1" workbookViewId="0">
      <selection activeCell="R13" sqref="R13:R16"/>
    </sheetView>
  </sheetViews>
  <sheetFormatPr defaultColWidth="10.33203125" defaultRowHeight="13.2" zeroHeight="1"/>
  <cols>
    <col min="1" max="1" width="33" style="597" customWidth="1"/>
    <col min="2" max="2" width="3.5546875" style="597" customWidth="1"/>
    <col min="3" max="3" width="26.109375" style="597" customWidth="1"/>
    <col min="4" max="4" width="20.44140625" style="597" customWidth="1"/>
    <col min="5" max="5" width="13.44140625" style="597" customWidth="1"/>
    <col min="6" max="6" width="19.5546875" style="597" customWidth="1"/>
    <col min="7" max="7" width="30.33203125" style="597" customWidth="1"/>
    <col min="8" max="9" width="15.5546875" style="597" bestFit="1" customWidth="1"/>
    <col min="10" max="14" width="15.5546875" style="597" customWidth="1"/>
    <col min="15" max="16" width="22.33203125" style="597" customWidth="1"/>
    <col min="17" max="17" width="15.5546875" style="597" bestFit="1" customWidth="1"/>
    <col min="18" max="16384" width="10.33203125" style="597"/>
  </cols>
  <sheetData>
    <row r="1" spans="1:18" s="589" customFormat="1"/>
    <row r="2" spans="1:18" s="589" customFormat="1">
      <c r="C2" s="591" t="str">
        <f ca="1">UPPER(MID(CELL("filename",A1),FIND("[",CELL("filename",A1))+1,FIND("]",CELL("filename",A1))-FIND("[",CELL("filename",A1))-5))</f>
        <v>LPM MB15 - VT TRADITIONEEL 20170201 OBV ULL OPENBAAR.</v>
      </c>
      <c r="D2" s="591"/>
      <c r="E2" s="591"/>
      <c r="F2" s="591"/>
      <c r="G2" s="591"/>
    </row>
    <row r="3" spans="1:18" s="589" customFormat="1">
      <c r="C3" s="589" t="str">
        <f ca="1">UPPER(MID(CELL("filename",A2),FIND("]",CELL("filename",A2))+1,LEN(CELL("filename",A2))))</f>
        <v>INKOOP ISDN1-2</v>
      </c>
    </row>
    <row r="4" spans="1:18" s="592" customFormat="1"/>
    <row r="5" spans="1:18" s="611" customFormat="1">
      <c r="A5" s="597"/>
      <c r="B5" s="597"/>
      <c r="C5" s="609"/>
      <c r="D5" s="609"/>
      <c r="E5" s="609"/>
      <c r="F5" s="609"/>
      <c r="G5" s="610"/>
    </row>
    <row r="6" spans="1:18" s="611" customFormat="1" ht="13.8" thickBot="1">
      <c r="A6" s="597"/>
      <c r="B6" s="597"/>
      <c r="C6" s="609"/>
      <c r="D6" s="609"/>
      <c r="E6" s="609"/>
      <c r="F6" s="609"/>
      <c r="G6" s="610"/>
    </row>
    <row r="7" spans="1:18" s="611" customFormat="1">
      <c r="A7" s="597"/>
      <c r="B7" s="597"/>
      <c r="C7" s="609"/>
      <c r="D7" s="609"/>
      <c r="E7" s="609" t="s">
        <v>1107</v>
      </c>
      <c r="F7" s="612">
        <f>COUNTA($C$13:$C$4609)</f>
        <v>4</v>
      </c>
      <c r="G7" s="610"/>
      <c r="H7" s="613"/>
      <c r="I7" s="614"/>
      <c r="J7" s="615"/>
      <c r="K7" s="613"/>
      <c r="L7" s="614"/>
      <c r="M7" s="614"/>
      <c r="N7" s="614"/>
      <c r="O7" s="614"/>
      <c r="P7" s="615"/>
      <c r="Q7" s="1033" t="s">
        <v>1111</v>
      </c>
      <c r="R7" s="1034"/>
    </row>
    <row r="8" spans="1:18" s="611" customFormat="1">
      <c r="A8" s="597"/>
      <c r="B8" s="597"/>
      <c r="C8" s="609"/>
      <c r="D8" s="609"/>
      <c r="G8" s="610"/>
      <c r="H8" s="616"/>
      <c r="I8" s="617"/>
      <c r="J8" s="618"/>
      <c r="K8" s="616"/>
      <c r="L8" s="617"/>
      <c r="M8" s="617"/>
      <c r="N8" s="617"/>
      <c r="O8" s="617"/>
      <c r="P8" s="618"/>
      <c r="Q8" s="1035"/>
      <c r="R8" s="1036"/>
    </row>
    <row r="9" spans="1:18" s="611" customFormat="1">
      <c r="A9" s="597"/>
      <c r="B9" s="619"/>
      <c r="C9" s="620"/>
      <c r="D9" s="620"/>
      <c r="E9" s="620"/>
      <c r="F9" s="620"/>
      <c r="G9" s="620"/>
      <c r="H9" s="621" t="s">
        <v>1108</v>
      </c>
      <c r="I9" s="622" t="s">
        <v>1108</v>
      </c>
      <c r="J9" s="623" t="s">
        <v>1108</v>
      </c>
      <c r="K9" s="621" t="s">
        <v>1109</v>
      </c>
      <c r="L9" s="622" t="s">
        <v>1109</v>
      </c>
      <c r="M9" s="622" t="s">
        <v>1109</v>
      </c>
      <c r="N9" s="622" t="s">
        <v>1109</v>
      </c>
      <c r="O9" s="619" t="s">
        <v>1110</v>
      </c>
      <c r="P9" s="624" t="s">
        <v>1109</v>
      </c>
      <c r="Q9" s="1037"/>
      <c r="R9" s="1038"/>
    </row>
    <row r="10" spans="1:18" s="611" customFormat="1" ht="26.4">
      <c r="A10" s="597" t="s">
        <v>1123</v>
      </c>
      <c r="B10" s="619"/>
      <c r="C10" s="625" t="s">
        <v>1112</v>
      </c>
      <c r="D10" s="625" t="s">
        <v>1113</v>
      </c>
      <c r="E10" s="625" t="s">
        <v>1114</v>
      </c>
      <c r="F10" s="625"/>
      <c r="G10" s="625" t="s">
        <v>1115</v>
      </c>
      <c r="H10" s="626" t="s">
        <v>1116</v>
      </c>
      <c r="I10" s="627" t="s">
        <v>1117</v>
      </c>
      <c r="J10" s="628" t="s">
        <v>1118</v>
      </c>
      <c r="K10" s="629" t="s">
        <v>902</v>
      </c>
      <c r="L10" s="627" t="s">
        <v>1115</v>
      </c>
      <c r="M10" s="627" t="s">
        <v>1119</v>
      </c>
      <c r="N10" s="627" t="s">
        <v>1120</v>
      </c>
      <c r="O10" s="630" t="s">
        <v>1121</v>
      </c>
      <c r="P10" s="631" t="s">
        <v>1122</v>
      </c>
      <c r="Q10" s="632" t="s">
        <v>1273</v>
      </c>
      <c r="R10" s="632" t="s">
        <v>1274</v>
      </c>
    </row>
    <row r="11" spans="1:18" s="611" customFormat="1">
      <c r="A11" s="597"/>
      <c r="B11" s="597"/>
      <c r="C11" s="597"/>
      <c r="D11" s="597"/>
      <c r="E11" s="597"/>
      <c r="F11" s="597"/>
      <c r="G11" s="597"/>
      <c r="H11" s="633"/>
      <c r="I11" s="634"/>
      <c r="J11" s="635"/>
      <c r="K11" s="636"/>
      <c r="L11" s="634"/>
      <c r="M11" s="634"/>
      <c r="N11" s="634"/>
      <c r="O11" s="634"/>
      <c r="P11" s="635"/>
      <c r="Q11" s="637"/>
      <c r="R11" s="637"/>
    </row>
    <row r="12" spans="1:18" s="611" customFormat="1" ht="15.6">
      <c r="A12" s="597"/>
      <c r="B12" s="597"/>
      <c r="C12" s="638" t="s">
        <v>1127</v>
      </c>
      <c r="D12" s="638"/>
      <c r="E12" s="638"/>
      <c r="F12" s="638"/>
      <c r="G12" s="597"/>
      <c r="H12" s="633"/>
      <c r="I12" s="634"/>
      <c r="J12" s="635"/>
      <c r="K12" s="636"/>
      <c r="L12" s="634"/>
      <c r="M12" s="634"/>
      <c r="N12" s="634"/>
      <c r="O12" s="634"/>
      <c r="P12" s="635"/>
      <c r="Q12" s="637"/>
      <c r="R12" s="637"/>
    </row>
    <row r="13" spans="1:18">
      <c r="A13" s="597" t="str">
        <f>C13&amp;D13&amp;E13&amp;G13</f>
        <v>ISDN1,2NLS type 1/2/3non-sharedStandard</v>
      </c>
      <c r="C13" s="639" t="s">
        <v>1127</v>
      </c>
      <c r="D13" s="639" t="s">
        <v>1124</v>
      </c>
      <c r="E13" s="639" t="s">
        <v>47</v>
      </c>
      <c r="F13" s="640"/>
      <c r="G13" s="639" t="s">
        <v>1125</v>
      </c>
      <c r="H13" s="641">
        <f>IF(D13="NLS type 1/2/3",'Parameters ULL'!$E$28,'Inkoop tarief elementen'!$E$11)/'Parameters ULL'!$E$10</f>
        <v>1.9644444444444444</v>
      </c>
      <c r="I13" s="642">
        <f>INDEX('Inkoop tarief elementen'!$E$21:$E$23,MATCH(E13,'Inkoop tarief elementen'!$D$21:$D$23,0))/'Parameters ULL'!$E$10</f>
        <v>0.1713888888888889</v>
      </c>
      <c r="J13" s="643">
        <f>SUM(H13:I13)</f>
        <v>2.1358333333333333</v>
      </c>
      <c r="K13" s="641">
        <f>INDEX('Inkoop tarief elementen'!$E$26:$E$28,MATCH($E13,'Inkoop tarief elementen'!$D$26:$D$28,0))</f>
        <v>7.92</v>
      </c>
      <c r="L13" s="642">
        <f>IF(G13="7x24 repairtime 8h",'Inkoop tarief elementen'!$E$38,0)</f>
        <v>0</v>
      </c>
      <c r="M13" s="642">
        <f>'Inkoop tarief elementen'!$E$33/'Parameters ULL'!$E$10</f>
        <v>5.5833333333333325E-2</v>
      </c>
      <c r="N13" s="962">
        <f>collocatie!$J$177</f>
        <v>1.0592552722222219</v>
      </c>
      <c r="O13" s="962">
        <f>'EDC minus lijst ULL'!$D$34+'EDC minus lijst ULL'!$E$34</f>
        <v>0.2</v>
      </c>
      <c r="P13" s="643">
        <f>SUM(K13:O13)</f>
        <v>9.2350886055555534</v>
      </c>
      <c r="Q13" s="644">
        <f>P13</f>
        <v>9.2350886055555534</v>
      </c>
      <c r="R13" s="1107">
        <f>J13*'Parameters ULL'!$E$10</f>
        <v>76.89</v>
      </c>
    </row>
    <row r="14" spans="1:18">
      <c r="A14" s="597" t="str">
        <f t="shared" ref="A14:A16" si="0">C14&amp;D14&amp;E14&amp;G14</f>
        <v>ISDN1,2NLS type 1/2/3non-shared7x24 repairtime 8h</v>
      </c>
      <c r="C14" s="639" t="s">
        <v>1127</v>
      </c>
      <c r="D14" s="639" t="s">
        <v>1124</v>
      </c>
      <c r="E14" s="639" t="s">
        <v>47</v>
      </c>
      <c r="F14" s="640"/>
      <c r="G14" s="639" t="s">
        <v>1126</v>
      </c>
      <c r="H14" s="641">
        <f>IF(D14="NLS type 1/2/3",'Parameters ULL'!$E$28,'Inkoop tarief elementen'!$E$11)/'Parameters ULL'!$E$10</f>
        <v>1.9644444444444444</v>
      </c>
      <c r="I14" s="642">
        <f>INDEX('Inkoop tarief elementen'!$E$21:$E$23,MATCH(E14,'Inkoop tarief elementen'!$D$21:$D$23,0))/'Parameters ULL'!$E$10</f>
        <v>0.1713888888888889</v>
      </c>
      <c r="J14" s="643">
        <f t="shared" ref="J14:J16" si="1">SUM(H14:I14)</f>
        <v>2.1358333333333333</v>
      </c>
      <c r="K14" s="641">
        <f>INDEX('Inkoop tarief elementen'!$E$26:$E$28,MATCH($E14,'Inkoop tarief elementen'!$D$26:$D$28,0))</f>
        <v>7.92</v>
      </c>
      <c r="L14" s="642">
        <f>IF(G14="7x24 repairtime 8h",'Inkoop tarief elementen'!$E$38,0)</f>
        <v>2.38</v>
      </c>
      <c r="M14" s="642">
        <f>'Inkoop tarief elementen'!$E$33/'Parameters ULL'!$E$10</f>
        <v>5.5833333333333325E-2</v>
      </c>
      <c r="N14" s="962">
        <f>collocatie!$J$177</f>
        <v>1.0592552722222219</v>
      </c>
      <c r="O14" s="962">
        <f>'EDC minus lijst ULL'!$D$34+'EDC minus lijst ULL'!$E$34</f>
        <v>0.2</v>
      </c>
      <c r="P14" s="643">
        <f>SUM(K14:O14)</f>
        <v>11.615088605555556</v>
      </c>
      <c r="Q14" s="644">
        <f t="shared" ref="Q14:Q16" si="2">P14</f>
        <v>11.615088605555556</v>
      </c>
      <c r="R14" s="1107">
        <f>J14*'Parameters ULL'!$E$10</f>
        <v>76.89</v>
      </c>
    </row>
    <row r="15" spans="1:18">
      <c r="A15" s="597" t="str">
        <f t="shared" si="0"/>
        <v>ISDN1,2telco-telconon-sharedStandard</v>
      </c>
      <c r="C15" s="639" t="s">
        <v>1127</v>
      </c>
      <c r="D15" s="639" t="s">
        <v>887</v>
      </c>
      <c r="E15" s="639" t="s">
        <v>47</v>
      </c>
      <c r="F15" s="640"/>
      <c r="G15" s="639" t="s">
        <v>1125</v>
      </c>
      <c r="H15" s="641">
        <f>IF(D15="NLS type 1/2/3",'Parameters ULL'!$E$28,'Inkoop tarief elementen'!$E$11)/'Parameters ULL'!$E$10</f>
        <v>0.3644444444444444</v>
      </c>
      <c r="I15" s="642">
        <f>INDEX('Inkoop tarief elementen'!$E$21:$E$23,MATCH(E15,'Inkoop tarief elementen'!$D$21:$D$23,0))/'Parameters ULL'!$E$10</f>
        <v>0.1713888888888889</v>
      </c>
      <c r="J15" s="643">
        <f t="shared" si="1"/>
        <v>0.53583333333333327</v>
      </c>
      <c r="K15" s="641">
        <f>INDEX('Inkoop tarief elementen'!$E$26:$E$28,MATCH($E15,'Inkoop tarief elementen'!$D$26:$D$28,0))</f>
        <v>7.92</v>
      </c>
      <c r="L15" s="642">
        <f>IF(G15="7x24 repairtime 8h",'Inkoop tarief elementen'!$E$38,0)</f>
        <v>0</v>
      </c>
      <c r="M15" s="642">
        <f>'Inkoop tarief elementen'!$E$33/'Parameters ULL'!$E$10</f>
        <v>5.5833333333333325E-2</v>
      </c>
      <c r="N15" s="962">
        <f>collocatie!$J$177</f>
        <v>1.0592552722222219</v>
      </c>
      <c r="O15" s="962">
        <f>'EDC minus lijst ULL'!$D$34+'EDC minus lijst ULL'!$E$34</f>
        <v>0.2</v>
      </c>
      <c r="P15" s="643">
        <f>SUM(K15:O15)</f>
        <v>9.2350886055555534</v>
      </c>
      <c r="Q15" s="644">
        <f t="shared" si="2"/>
        <v>9.2350886055555534</v>
      </c>
      <c r="R15" s="1107">
        <f>J15*'Parameters ULL'!$E$10</f>
        <v>19.29</v>
      </c>
    </row>
    <row r="16" spans="1:18">
      <c r="A16" s="597" t="str">
        <f t="shared" si="0"/>
        <v>ISDN1,2telco-telconon-shared7x24 repairtime 8h</v>
      </c>
      <c r="C16" s="639" t="s">
        <v>1127</v>
      </c>
      <c r="D16" s="639" t="s">
        <v>887</v>
      </c>
      <c r="E16" s="639" t="s">
        <v>47</v>
      </c>
      <c r="F16" s="640"/>
      <c r="G16" s="639" t="s">
        <v>1126</v>
      </c>
      <c r="H16" s="641">
        <f>IF(D16="NLS type 1/2/3",'Parameters ULL'!$E$28,'Inkoop tarief elementen'!$E$11)/'Parameters ULL'!$E$10</f>
        <v>0.3644444444444444</v>
      </c>
      <c r="I16" s="642">
        <f>INDEX('Inkoop tarief elementen'!$E$21:$E$23,MATCH(E16,'Inkoop tarief elementen'!$D$21:$D$23,0))/'Parameters ULL'!$E$10</f>
        <v>0.1713888888888889</v>
      </c>
      <c r="J16" s="643">
        <f t="shared" si="1"/>
        <v>0.53583333333333327</v>
      </c>
      <c r="K16" s="641">
        <f>INDEX('Inkoop tarief elementen'!$E$26:$E$28,MATCH($E16,'Inkoop tarief elementen'!$D$26:$D$28,0))</f>
        <v>7.92</v>
      </c>
      <c r="L16" s="642">
        <f>IF(G16="7x24 repairtime 8h",'Inkoop tarief elementen'!$E$38,0)</f>
        <v>2.38</v>
      </c>
      <c r="M16" s="642">
        <f>'Inkoop tarief elementen'!$E$33/'Parameters ULL'!$E$10</f>
        <v>5.5833333333333325E-2</v>
      </c>
      <c r="N16" s="962">
        <f>collocatie!$J$177</f>
        <v>1.0592552722222219</v>
      </c>
      <c r="O16" s="962">
        <f>'EDC minus lijst ULL'!$D$34+'EDC minus lijst ULL'!$E$34</f>
        <v>0.2</v>
      </c>
      <c r="P16" s="643">
        <f>SUM(K16:O16)</f>
        <v>11.615088605555556</v>
      </c>
      <c r="Q16" s="644">
        <f t="shared" si="2"/>
        <v>11.615088605555556</v>
      </c>
      <c r="R16" s="1107">
        <f>J16*'Parameters ULL'!$E$10</f>
        <v>19.29</v>
      </c>
    </row>
    <row r="17"/>
    <row r="18"/>
    <row r="19"/>
    <row r="20"/>
    <row r="21"/>
    <row r="22"/>
    <row r="23"/>
    <row r="24"/>
    <row r="25"/>
    <row r="26"/>
    <row r="27"/>
    <row r="28"/>
    <row r="29"/>
    <row r="30"/>
    <row r="31"/>
    <row r="32"/>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sheetData>
  <autoFilter ref="C10:Q16"/>
  <mergeCells count="1">
    <mergeCell ref="Q7:R9"/>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CC00"/>
  </sheetPr>
  <dimension ref="A1:R211"/>
  <sheetViews>
    <sheetView topLeftCell="H1" workbookViewId="0">
      <selection activeCell="R13" sqref="R13:R16"/>
    </sheetView>
  </sheetViews>
  <sheetFormatPr defaultColWidth="10.33203125" defaultRowHeight="13.2" zeroHeight="1"/>
  <cols>
    <col min="1" max="1" width="39.5546875" style="597" customWidth="1"/>
    <col min="2" max="2" width="3.5546875" style="597" customWidth="1"/>
    <col min="3" max="3" width="19" style="597" customWidth="1"/>
    <col min="4" max="4" width="20.44140625" style="597" customWidth="1"/>
    <col min="5" max="5" width="13.44140625" style="597" customWidth="1"/>
    <col min="6" max="6" width="19.5546875" style="597" customWidth="1"/>
    <col min="7" max="7" width="30.33203125" style="597" customWidth="1"/>
    <col min="8" max="9" width="15.5546875" style="597" bestFit="1" customWidth="1"/>
    <col min="10" max="14" width="15.5546875" style="597" customWidth="1"/>
    <col min="15" max="16" width="22.33203125" style="597" customWidth="1"/>
    <col min="17" max="17" width="15.5546875" style="597" bestFit="1" customWidth="1"/>
    <col min="18" max="16384" width="10.33203125" style="597"/>
  </cols>
  <sheetData>
    <row r="1" spans="1:18" s="589" customFormat="1"/>
    <row r="2" spans="1:18" s="589" customFormat="1">
      <c r="C2" s="591" t="str">
        <f ca="1">UPPER(MID(CELL("filename",A1),FIND("[",CELL("filename",A1))+1,FIND("]",CELL("filename",A1))-FIND("[",CELL("filename",A1))-5))</f>
        <v>LPM MB15 - VT TRADITIONEEL 20170201 OBV ULL OPENBAAR.</v>
      </c>
      <c r="D2" s="591"/>
      <c r="E2" s="591"/>
      <c r="F2" s="591"/>
      <c r="G2" s="591"/>
    </row>
    <row r="3" spans="1:18" s="589" customFormat="1">
      <c r="C3" s="589" t="str">
        <f ca="1">UPPER(MID(CELL("filename",A2),FIND("]",CELL("filename",A2))+1,LEN(CELL("filename",A2))))</f>
        <v>INKOOP ISDN15-30</v>
      </c>
    </row>
    <row r="4" spans="1:18" s="592" customFormat="1"/>
    <row r="5" spans="1:18" s="611" customFormat="1">
      <c r="A5" s="597"/>
      <c r="B5" s="597"/>
      <c r="C5" s="609"/>
      <c r="D5" s="609"/>
      <c r="E5" s="609"/>
      <c r="F5" s="609"/>
      <c r="G5" s="610"/>
    </row>
    <row r="6" spans="1:18" s="611" customFormat="1" ht="13.8" thickBot="1">
      <c r="A6" s="597"/>
      <c r="B6" s="597"/>
      <c r="C6" s="609"/>
      <c r="D6" s="609"/>
      <c r="E6" s="609"/>
      <c r="F6" s="609"/>
      <c r="G6" s="610"/>
    </row>
    <row r="7" spans="1:18" s="611" customFormat="1">
      <c r="A7" s="597"/>
      <c r="B7" s="597"/>
      <c r="C7" s="609"/>
      <c r="D7" s="609"/>
      <c r="E7" s="609" t="s">
        <v>1107</v>
      </c>
      <c r="F7" s="612">
        <f>COUNTA($C$13:$C$4609)</f>
        <v>4</v>
      </c>
      <c r="G7" s="610"/>
      <c r="H7" s="613"/>
      <c r="I7" s="614"/>
      <c r="J7" s="615"/>
      <c r="K7" s="613"/>
      <c r="L7" s="614"/>
      <c r="M7" s="614"/>
      <c r="N7" s="614"/>
      <c r="O7" s="614"/>
      <c r="P7" s="615"/>
      <c r="Q7" s="1033" t="s">
        <v>1111</v>
      </c>
      <c r="R7" s="1034"/>
    </row>
    <row r="8" spans="1:18" s="611" customFormat="1">
      <c r="A8" s="597"/>
      <c r="B8" s="597"/>
      <c r="C8" s="609"/>
      <c r="D8" s="609"/>
      <c r="G8" s="610"/>
      <c r="H8" s="616"/>
      <c r="I8" s="617"/>
      <c r="J8" s="618"/>
      <c r="K8" s="616"/>
      <c r="L8" s="617"/>
      <c r="M8" s="617"/>
      <c r="N8" s="617"/>
      <c r="O8" s="617"/>
      <c r="P8" s="618"/>
      <c r="Q8" s="1035"/>
      <c r="R8" s="1036"/>
    </row>
    <row r="9" spans="1:18" s="611" customFormat="1">
      <c r="A9" s="597"/>
      <c r="B9" s="619"/>
      <c r="C9" s="620"/>
      <c r="D9" s="620"/>
      <c r="E9" s="620"/>
      <c r="F9" s="620"/>
      <c r="G9" s="620"/>
      <c r="H9" s="621" t="s">
        <v>1108</v>
      </c>
      <c r="I9" s="622" t="s">
        <v>1108</v>
      </c>
      <c r="J9" s="623" t="s">
        <v>1108</v>
      </c>
      <c r="K9" s="621" t="s">
        <v>1109</v>
      </c>
      <c r="L9" s="622" t="s">
        <v>1109</v>
      </c>
      <c r="M9" s="622" t="s">
        <v>1109</v>
      </c>
      <c r="N9" s="622" t="s">
        <v>1109</v>
      </c>
      <c r="O9" s="619" t="s">
        <v>1110</v>
      </c>
      <c r="P9" s="624" t="s">
        <v>1109</v>
      </c>
      <c r="Q9" s="1037"/>
      <c r="R9" s="1038"/>
    </row>
    <row r="10" spans="1:18" s="611" customFormat="1" ht="26.4">
      <c r="A10" s="597" t="s">
        <v>1123</v>
      </c>
      <c r="B10" s="619"/>
      <c r="C10" s="625" t="s">
        <v>1112</v>
      </c>
      <c r="D10" s="625" t="s">
        <v>1113</v>
      </c>
      <c r="E10" s="625" t="s">
        <v>1114</v>
      </c>
      <c r="F10" s="625"/>
      <c r="G10" s="625" t="s">
        <v>1115</v>
      </c>
      <c r="H10" s="626" t="s">
        <v>1116</v>
      </c>
      <c r="I10" s="627" t="s">
        <v>1117</v>
      </c>
      <c r="J10" s="628" t="s">
        <v>1118</v>
      </c>
      <c r="K10" s="629" t="s">
        <v>902</v>
      </c>
      <c r="L10" s="627" t="s">
        <v>1115</v>
      </c>
      <c r="M10" s="627" t="s">
        <v>1119</v>
      </c>
      <c r="N10" s="627" t="s">
        <v>1120</v>
      </c>
      <c r="O10" s="630" t="s">
        <v>1121</v>
      </c>
      <c r="P10" s="631" t="s">
        <v>1122</v>
      </c>
      <c r="Q10" s="632" t="s">
        <v>1273</v>
      </c>
      <c r="R10" s="632" t="s">
        <v>1274</v>
      </c>
    </row>
    <row r="11" spans="1:18" s="611" customFormat="1">
      <c r="A11" s="597"/>
      <c r="B11" s="597"/>
      <c r="C11" s="597"/>
      <c r="D11" s="597"/>
      <c r="E11" s="597"/>
      <c r="F11" s="597"/>
      <c r="G11" s="597"/>
      <c r="H11" s="633"/>
      <c r="I11" s="634"/>
      <c r="J11" s="635"/>
      <c r="K11" s="636"/>
      <c r="L11" s="634"/>
      <c r="M11" s="634"/>
      <c r="N11" s="634"/>
      <c r="O11" s="634"/>
      <c r="P11" s="635"/>
      <c r="Q11" s="637"/>
      <c r="R11" s="637"/>
    </row>
    <row r="12" spans="1:18" s="611" customFormat="1" ht="15.6">
      <c r="A12" s="597"/>
      <c r="B12" s="597"/>
      <c r="C12" s="638" t="s">
        <v>1128</v>
      </c>
      <c r="D12" s="638"/>
      <c r="E12" s="638"/>
      <c r="F12" s="638"/>
      <c r="G12" s="597"/>
      <c r="H12" s="633"/>
      <c r="I12" s="634"/>
      <c r="J12" s="635"/>
      <c r="K12" s="636"/>
      <c r="L12" s="634"/>
      <c r="M12" s="634"/>
      <c r="N12" s="634"/>
      <c r="O12" s="634"/>
      <c r="P12" s="635"/>
      <c r="Q12" s="637"/>
      <c r="R12" s="637"/>
    </row>
    <row r="13" spans="1:18">
      <c r="A13" s="597" t="str">
        <f>C13&amp;D13&amp;E13&amp;G13</f>
        <v>ISDN15,20,30NLS type 1/2/3non-sharedStandard</v>
      </c>
      <c r="C13" s="639" t="s">
        <v>1128</v>
      </c>
      <c r="D13" s="639" t="s">
        <v>1124</v>
      </c>
      <c r="E13" s="639" t="s">
        <v>47</v>
      </c>
      <c r="F13" s="640"/>
      <c r="G13" s="639" t="s">
        <v>1125</v>
      </c>
      <c r="H13" s="641">
        <f>2*IF(D13="NLS type 1/2/3",'Parameters ULL'!$E$28,'Inkoop tarief elementen'!$E$11)/'Parameters ULL'!$E$10</f>
        <v>3.9288888888888889</v>
      </c>
      <c r="I13" s="642">
        <f>2*INDEX('Inkoop tarief elementen'!$E$21:$E$23,MATCH(E13,'Inkoop tarief elementen'!$D$21:$D$23,0))/'Parameters ULL'!$E$10</f>
        <v>0.34277777777777779</v>
      </c>
      <c r="J13" s="643">
        <f>SUM(H13:I13)</f>
        <v>4.2716666666666665</v>
      </c>
      <c r="K13" s="641">
        <f>2*INDEX('Inkoop tarief elementen'!$E$26:$E$28,MATCH($E13,'Inkoop tarief elementen'!$D$26:$D$28,0))</f>
        <v>15.84</v>
      </c>
      <c r="L13" s="642">
        <f>2*IF(G13="7x24 repairtime 8h",'Inkoop tarief elementen'!$E$38,0)</f>
        <v>0</v>
      </c>
      <c r="M13" s="642">
        <f>'Inkoop tarief elementen'!$E$33/'Parameters ULL'!$E$10</f>
        <v>5.5833333333333325E-2</v>
      </c>
      <c r="N13" s="962">
        <f>collocatie!$J$193</f>
        <v>1.6423451944444443</v>
      </c>
      <c r="O13" s="962">
        <f>'EDC minus lijst ULL'!$D$35+'EDC minus lijst ULL'!$E$35</f>
        <v>0.2</v>
      </c>
      <c r="P13" s="643">
        <f>SUM(K13:O13)</f>
        <v>17.738178527777777</v>
      </c>
      <c r="Q13" s="644">
        <f>P13+'EDC minus lijst ULL'!$E$37</f>
        <v>18.738178527777777</v>
      </c>
      <c r="R13" s="1107">
        <f>J13*'Parameters ULL'!$E$10</f>
        <v>153.78</v>
      </c>
    </row>
    <row r="14" spans="1:18">
      <c r="A14" s="597" t="str">
        <f t="shared" ref="A14:A16" si="0">C14&amp;D14&amp;E14&amp;G14</f>
        <v>ISDN15,20,30NLS type 1/2/3non-shared7x24 repairtime 8h</v>
      </c>
      <c r="C14" s="639" t="s">
        <v>1128</v>
      </c>
      <c r="D14" s="639" t="s">
        <v>1124</v>
      </c>
      <c r="E14" s="639" t="s">
        <v>47</v>
      </c>
      <c r="F14" s="640"/>
      <c r="G14" s="639" t="s">
        <v>1126</v>
      </c>
      <c r="H14" s="641">
        <f>2*IF(D14="NLS type 1/2/3",'Parameters ULL'!$E$28,'Inkoop tarief elementen'!$E$11)/'Parameters ULL'!$E$10</f>
        <v>3.9288888888888889</v>
      </c>
      <c r="I14" s="642">
        <f>2*INDEX('Inkoop tarief elementen'!$E$21:$E$23,MATCH(E14,'Inkoop tarief elementen'!$D$21:$D$23,0))/'Parameters ULL'!$E$10</f>
        <v>0.34277777777777779</v>
      </c>
      <c r="J14" s="643">
        <f t="shared" ref="J14:J16" si="1">SUM(H14:I14)</f>
        <v>4.2716666666666665</v>
      </c>
      <c r="K14" s="641">
        <f>2*INDEX('Inkoop tarief elementen'!$E$26:$E$28,MATCH($E14,'Inkoop tarief elementen'!$D$26:$D$28,0))</f>
        <v>15.84</v>
      </c>
      <c r="L14" s="642">
        <f>2*IF(G14="7x24 repairtime 8h",'Inkoop tarief elementen'!$E$38,0)</f>
        <v>4.76</v>
      </c>
      <c r="M14" s="642">
        <f>'Inkoop tarief elementen'!$E$33/'Parameters ULL'!$E$10</f>
        <v>5.5833333333333325E-2</v>
      </c>
      <c r="N14" s="962">
        <f>collocatie!$J$193</f>
        <v>1.6423451944444443</v>
      </c>
      <c r="O14" s="962">
        <f>'EDC minus lijst ULL'!$D$35+'EDC minus lijst ULL'!$E$35</f>
        <v>0.2</v>
      </c>
      <c r="P14" s="643">
        <f>SUM(K14:O14)</f>
        <v>22.498178527777778</v>
      </c>
      <c r="Q14" s="644">
        <f>P14+'EDC minus lijst ULL'!$E$37</f>
        <v>23.498178527777778</v>
      </c>
      <c r="R14" s="1107">
        <f>J14*'Parameters ULL'!$E$10</f>
        <v>153.78</v>
      </c>
    </row>
    <row r="15" spans="1:18">
      <c r="A15" s="597" t="str">
        <f t="shared" si="0"/>
        <v>ISDN15,20,30telco-telconon-sharedStandard</v>
      </c>
      <c r="C15" s="639" t="s">
        <v>1128</v>
      </c>
      <c r="D15" s="639" t="s">
        <v>887</v>
      </c>
      <c r="E15" s="639" t="s">
        <v>47</v>
      </c>
      <c r="F15" s="640"/>
      <c r="G15" s="639" t="s">
        <v>1125</v>
      </c>
      <c r="H15" s="641">
        <f>2*IF(D15="NLS type 1/2/3",'Parameters ULL'!$E$28,'Inkoop tarief elementen'!$E$11)/'Parameters ULL'!$E$10</f>
        <v>0.72888888888888881</v>
      </c>
      <c r="I15" s="642">
        <f>2*INDEX('Inkoop tarief elementen'!$E$21:$E$23,MATCH(E15,'Inkoop tarief elementen'!$D$21:$D$23,0))/'Parameters ULL'!$E$10</f>
        <v>0.34277777777777779</v>
      </c>
      <c r="J15" s="643">
        <f t="shared" si="1"/>
        <v>1.0716666666666665</v>
      </c>
      <c r="K15" s="641">
        <f>2*INDEX('Inkoop tarief elementen'!$E$26:$E$28,MATCH($E15,'Inkoop tarief elementen'!$D$26:$D$28,0))</f>
        <v>15.84</v>
      </c>
      <c r="L15" s="642">
        <f>2*IF(G15="7x24 repairtime 8h",'Inkoop tarief elementen'!$E$38,0)</f>
        <v>0</v>
      </c>
      <c r="M15" s="642">
        <f>'Inkoop tarief elementen'!$E$33/'Parameters ULL'!$E$10</f>
        <v>5.5833333333333325E-2</v>
      </c>
      <c r="N15" s="962">
        <f>collocatie!$J$193</f>
        <v>1.6423451944444443</v>
      </c>
      <c r="O15" s="962">
        <f>'EDC minus lijst ULL'!$D$35+'EDC minus lijst ULL'!$E$35</f>
        <v>0.2</v>
      </c>
      <c r="P15" s="643">
        <f>SUM(K15:O15)</f>
        <v>17.738178527777777</v>
      </c>
      <c r="Q15" s="644">
        <f>P15+'EDC minus lijst ULL'!$E$37</f>
        <v>18.738178527777777</v>
      </c>
      <c r="R15" s="1107">
        <f>J15*'Parameters ULL'!$E$10</f>
        <v>38.58</v>
      </c>
    </row>
    <row r="16" spans="1:18">
      <c r="A16" s="597" t="str">
        <f t="shared" si="0"/>
        <v>ISDN15,20,30telco-telconon-shared7x24 repairtime 8h</v>
      </c>
      <c r="C16" s="639" t="s">
        <v>1128</v>
      </c>
      <c r="D16" s="639" t="s">
        <v>887</v>
      </c>
      <c r="E16" s="639" t="s">
        <v>47</v>
      </c>
      <c r="F16" s="640"/>
      <c r="G16" s="639" t="s">
        <v>1126</v>
      </c>
      <c r="H16" s="641">
        <f>2*IF(D16="NLS type 1/2/3",'Parameters ULL'!$E$28,'Inkoop tarief elementen'!$E$11)/'Parameters ULL'!$E$10</f>
        <v>0.72888888888888881</v>
      </c>
      <c r="I16" s="642">
        <f>2*INDEX('Inkoop tarief elementen'!$E$21:$E$23,MATCH(E16,'Inkoop tarief elementen'!$D$21:$D$23,0))/'Parameters ULL'!$E$10</f>
        <v>0.34277777777777779</v>
      </c>
      <c r="J16" s="643">
        <f t="shared" si="1"/>
        <v>1.0716666666666665</v>
      </c>
      <c r="K16" s="641">
        <f>2*INDEX('Inkoop tarief elementen'!$E$26:$E$28,MATCH($E16,'Inkoop tarief elementen'!$D$26:$D$28,0))</f>
        <v>15.84</v>
      </c>
      <c r="L16" s="642">
        <f>2*IF(G16="7x24 repairtime 8h",'Inkoop tarief elementen'!$E$38,0)</f>
        <v>4.76</v>
      </c>
      <c r="M16" s="642">
        <f>'Inkoop tarief elementen'!$E$33/'Parameters ULL'!$E$10</f>
        <v>5.5833333333333325E-2</v>
      </c>
      <c r="N16" s="962">
        <f>collocatie!$J$193</f>
        <v>1.6423451944444443</v>
      </c>
      <c r="O16" s="962">
        <f>'EDC minus lijst ULL'!$D$35+'EDC minus lijst ULL'!$E$35</f>
        <v>0.2</v>
      </c>
      <c r="P16" s="643">
        <f>SUM(K16:O16)</f>
        <v>22.498178527777778</v>
      </c>
      <c r="Q16" s="644">
        <f>P16+'EDC minus lijst ULL'!$E$37</f>
        <v>23.498178527777778</v>
      </c>
      <c r="R16" s="1107">
        <f>J16*'Parameters ULL'!$E$10</f>
        <v>38.58</v>
      </c>
    </row>
    <row r="17"/>
    <row r="18"/>
    <row r="19"/>
    <row r="20"/>
    <row r="21"/>
    <row r="22"/>
    <row r="23"/>
    <row r="24"/>
    <row r="25"/>
    <row r="26"/>
    <row r="27"/>
    <row r="28"/>
    <row r="29"/>
    <row r="30"/>
    <row r="31"/>
    <row r="32"/>
    <row r="33"/>
    <row r="34"/>
    <row r="35"/>
    <row r="36"/>
    <row r="37"/>
    <row r="38"/>
    <row r="39"/>
    <row r="40"/>
    <row r="41"/>
    <row r="42"/>
    <row r="43"/>
    <row r="44"/>
    <row r="45"/>
    <row r="46"/>
    <row r="47"/>
    <row r="48"/>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row r="93"/>
    <row r="94"/>
    <row r="95"/>
    <row r="96"/>
    <row r="97"/>
    <row r="98"/>
    <row r="99"/>
    <row r="100"/>
    <row r="101"/>
    <row r="102"/>
    <row r="103"/>
    <row r="104"/>
    <row r="105"/>
    <row r="106"/>
    <row r="107"/>
    <row r="108"/>
    <row r="109"/>
    <row r="110"/>
    <row r="111"/>
    <row r="112"/>
    <row r="113"/>
    <row r="114"/>
    <row r="115"/>
    <row r="116"/>
    <row r="117"/>
    <row r="118"/>
    <row r="119"/>
    <row r="120"/>
    <row r="121"/>
    <row r="122"/>
    <row r="123"/>
    <row r="124"/>
    <row r="125"/>
    <row r="126"/>
    <row r="127"/>
    <row r="128"/>
    <row r="129"/>
    <row r="130"/>
    <row r="131"/>
    <row r="132"/>
    <row r="133"/>
    <row r="134"/>
    <row r="135"/>
    <row r="136"/>
    <row r="137"/>
    <row r="138"/>
    <row r="139"/>
    <row r="140"/>
    <row r="141"/>
    <row r="142"/>
    <row r="143"/>
    <row r="144"/>
    <row r="145"/>
    <row r="146"/>
    <row r="147"/>
    <row r="148"/>
    <row r="149"/>
    <row r="150"/>
    <row r="151"/>
    <row r="152"/>
    <row r="153"/>
    <row r="154"/>
    <row r="155"/>
    <row r="156"/>
    <row r="157"/>
    <row r="158"/>
    <row r="159"/>
    <row r="160"/>
    <row r="161"/>
    <row r="162"/>
    <row r="163"/>
    <row r="164"/>
    <row r="165"/>
    <row r="166"/>
    <row r="167"/>
    <row r="168"/>
    <row r="169"/>
    <row r="170"/>
    <row r="171"/>
    <row r="172"/>
    <row r="173"/>
    <row r="174"/>
    <row r="175"/>
    <row r="176"/>
    <row r="177"/>
    <row r="178"/>
    <row r="179"/>
    <row r="180"/>
    <row r="181"/>
    <row r="182"/>
    <row r="183"/>
    <row r="184"/>
    <row r="185"/>
    <row r="186"/>
    <row r="187"/>
    <row r="188"/>
    <row r="189"/>
    <row r="190"/>
    <row r="191"/>
    <row r="192"/>
    <row r="193"/>
    <row r="194"/>
    <row r="195"/>
    <row r="196"/>
    <row r="197"/>
    <row r="198"/>
    <row r="199"/>
    <row r="200"/>
    <row r="201"/>
    <row r="202"/>
    <row r="203"/>
    <row r="204"/>
    <row r="205"/>
    <row r="206"/>
    <row r="207"/>
    <row r="208"/>
    <row r="209"/>
    <row r="210"/>
    <row r="211"/>
  </sheetData>
  <autoFilter ref="C10:Q16"/>
  <mergeCells count="1">
    <mergeCell ref="Q7:R9"/>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G19"/>
  <sheetViews>
    <sheetView workbookViewId="0">
      <selection activeCell="F17" sqref="F17"/>
    </sheetView>
  </sheetViews>
  <sheetFormatPr defaultColWidth="9.109375" defaultRowHeight="12"/>
  <cols>
    <col min="1" max="1" width="38.5546875" style="4" bestFit="1" customWidth="1"/>
    <col min="2" max="2" width="38.5546875" style="4" customWidth="1"/>
    <col min="3" max="3" width="23.88671875" style="4" bestFit="1" customWidth="1"/>
    <col min="4" max="4" width="23.88671875" style="4" customWidth="1"/>
    <col min="5" max="5" width="14.88671875" style="4" bestFit="1" customWidth="1"/>
    <col min="6" max="6" width="14.88671875" style="4" customWidth="1"/>
    <col min="7" max="16384" width="9.109375" style="4"/>
  </cols>
  <sheetData>
    <row r="2" spans="1:7">
      <c r="A2" s="4" t="s">
        <v>1183</v>
      </c>
      <c r="B2" s="4" t="s">
        <v>1184</v>
      </c>
      <c r="C2" s="4" t="s">
        <v>1129</v>
      </c>
      <c r="D2" s="4" t="s">
        <v>1179</v>
      </c>
      <c r="E2" s="4" t="s">
        <v>1275</v>
      </c>
      <c r="F2" s="4" t="s">
        <v>1276</v>
      </c>
    </row>
    <row r="3" spans="1:7">
      <c r="A3" s="4" t="s">
        <v>1180</v>
      </c>
      <c r="B3" s="4" t="str">
        <f>C3&amp;D3</f>
        <v>PSTNVVE overstap</v>
      </c>
      <c r="C3" s="4" t="s">
        <v>463</v>
      </c>
      <c r="D3" s="4" t="s">
        <v>459</v>
      </c>
      <c r="E3" s="645">
        <f>INDEX('inkoop PSTN'!Q:Q,MATCH('inkoop aansluitingen obv ULL'!A3,'inkoop PSTN'!A:A,0))</f>
        <v>9.2350886055555534</v>
      </c>
      <c r="F3" s="645">
        <f>INDEX('inkoop PSTN'!R:R,MATCH('inkoop aansluitingen obv ULL'!A3,'inkoop PSTN'!A:A,0))</f>
        <v>19.29</v>
      </c>
    </row>
    <row r="4" spans="1:7">
      <c r="A4" s="4" t="s">
        <v>1181</v>
      </c>
      <c r="B4" s="4" t="str">
        <f t="shared" ref="B4:B16" si="0">C4&amp;D4</f>
        <v>ISDN1VVE overstap</v>
      </c>
      <c r="C4" s="4" t="s">
        <v>464</v>
      </c>
      <c r="D4" s="4" t="s">
        <v>459</v>
      </c>
      <c r="E4" s="645">
        <f>INDEX('inkoop ISDN1-2'!Q:Q,MATCH('inkoop aansluitingen obv ULL'!A4,'inkoop ISDN1-2'!A:A,0))</f>
        <v>9.2350886055555534</v>
      </c>
      <c r="F4" s="645">
        <f>INDEX('inkoop ISDN1-2'!R:R,MATCH('inkoop aansluitingen obv ULL'!A4,'inkoop ISDN1-2'!A:A,0))</f>
        <v>19.29</v>
      </c>
    </row>
    <row r="5" spans="1:7">
      <c r="A5" s="4" t="s">
        <v>1181</v>
      </c>
      <c r="B5" s="4" t="str">
        <f t="shared" si="0"/>
        <v>ISDN2VVE overstap</v>
      </c>
      <c r="C5" s="4" t="s">
        <v>465</v>
      </c>
      <c r="D5" s="4" t="s">
        <v>459</v>
      </c>
      <c r="E5" s="645">
        <f>INDEX('inkoop ISDN1-2'!Q:Q,MATCH('inkoop aansluitingen obv ULL'!A5,'inkoop ISDN1-2'!A:A,0))</f>
        <v>9.2350886055555534</v>
      </c>
      <c r="F5" s="645">
        <f>INDEX('inkoop ISDN1-2'!R:R,MATCH('inkoop aansluitingen obv ULL'!A5,'inkoop ISDN1-2'!A:A,0))</f>
        <v>19.29</v>
      </c>
    </row>
    <row r="6" spans="1:7">
      <c r="A6" s="4" t="s">
        <v>1182</v>
      </c>
      <c r="B6" s="4" t="str">
        <f t="shared" si="0"/>
        <v>ISDN15VVE overstap</v>
      </c>
      <c r="C6" s="4" t="s">
        <v>466</v>
      </c>
      <c r="D6" s="4" t="s">
        <v>459</v>
      </c>
      <c r="E6" s="645">
        <f>INDEX('inkoop ISDN15-30'!Q:Q,MATCH('inkoop aansluitingen obv ULL'!A6,'inkoop ISDN15-30'!A:A,0))</f>
        <v>18.738178527777777</v>
      </c>
      <c r="F6" s="645">
        <f>INDEX('inkoop ISDN15-30'!R:R,MATCH('inkoop aansluitingen obv ULL'!A6,'inkoop ISDN15-30'!A:A,0))</f>
        <v>38.58</v>
      </c>
    </row>
    <row r="7" spans="1:7">
      <c r="A7" s="4" t="s">
        <v>1182</v>
      </c>
      <c r="B7" s="4" t="str">
        <f t="shared" si="0"/>
        <v>ISDN20VVE overstap</v>
      </c>
      <c r="C7" s="4" t="s">
        <v>468</v>
      </c>
      <c r="D7" s="4" t="s">
        <v>459</v>
      </c>
      <c r="E7" s="645">
        <f>INDEX('inkoop ISDN15-30'!Q:Q,MATCH('inkoop aansluitingen obv ULL'!A7,'inkoop ISDN15-30'!A:A,0))</f>
        <v>18.738178527777777</v>
      </c>
      <c r="F7" s="645">
        <f>INDEX('inkoop ISDN15-30'!R:R,MATCH('inkoop aansluitingen obv ULL'!A7,'inkoop ISDN15-30'!A:A,0))</f>
        <v>38.58</v>
      </c>
    </row>
    <row r="8" spans="1:7">
      <c r="A8" s="4" t="s">
        <v>1182</v>
      </c>
      <c r="B8" s="4" t="str">
        <f t="shared" si="0"/>
        <v>ISDN30 eerste aansluitingVVE overstap</v>
      </c>
      <c r="C8" s="4" t="s">
        <v>869</v>
      </c>
      <c r="D8" s="4" t="s">
        <v>459</v>
      </c>
      <c r="E8" s="645">
        <f>INDEX('inkoop ISDN15-30'!Q:Q,MATCH('inkoop aansluitingen obv ULL'!A8,'inkoop ISDN15-30'!A:A,0))</f>
        <v>18.738178527777777</v>
      </c>
      <c r="F8" s="645">
        <f>INDEX('inkoop ISDN15-30'!R:R,MATCH('inkoop aansluitingen obv ULL'!A8,'inkoop ISDN15-30'!A:A,0))</f>
        <v>38.58</v>
      </c>
    </row>
    <row r="9" spans="1:7">
      <c r="A9" s="4" t="s">
        <v>1182</v>
      </c>
      <c r="B9" s="4" t="str">
        <f t="shared" si="0"/>
        <v>ISDN30 volgende aansluitingVVE overstap</v>
      </c>
      <c r="C9" s="4" t="s">
        <v>870</v>
      </c>
      <c r="D9" s="4" t="s">
        <v>459</v>
      </c>
      <c r="E9" s="645">
        <f>INDEX('inkoop ISDN15-30'!Q:Q,MATCH('inkoop aansluitingen obv ULL'!A9,'inkoop ISDN15-30'!A:A,0))</f>
        <v>18.738178527777777</v>
      </c>
      <c r="F9" s="645">
        <f>INDEX('inkoop ISDN15-30'!R:R,MATCH('inkoop aansluitingen obv ULL'!A9,'inkoop ISDN15-30'!A:A,0))</f>
        <v>38.58</v>
      </c>
    </row>
    <row r="10" spans="1:7">
      <c r="A10" s="4" t="s">
        <v>1130</v>
      </c>
      <c r="B10" s="4" t="str">
        <f t="shared" si="0"/>
        <v>PSTNVVE nieuwe aanleg</v>
      </c>
      <c r="C10" s="4" t="s">
        <v>463</v>
      </c>
      <c r="D10" s="4" t="s">
        <v>458</v>
      </c>
      <c r="E10" s="645">
        <f>INDEX('inkoop PSTN'!Q:Q,MATCH('inkoop aansluitingen obv ULL'!A10,'inkoop PSTN'!A:A,0))</f>
        <v>9.2350886055555534</v>
      </c>
      <c r="F10" s="645">
        <f>INDEX('inkoop PSTN'!R:R,MATCH('inkoop aansluitingen obv ULL'!A10,'inkoop PSTN'!A:A,0))</f>
        <v>76.89</v>
      </c>
      <c r="G10" s="646"/>
    </row>
    <row r="11" spans="1:7">
      <c r="A11" s="4" t="s">
        <v>1131</v>
      </c>
      <c r="B11" s="4" t="str">
        <f t="shared" si="0"/>
        <v>ISDN1VVE nieuwe aanleg</v>
      </c>
      <c r="C11" s="4" t="s">
        <v>464</v>
      </c>
      <c r="D11" s="4" t="s">
        <v>458</v>
      </c>
      <c r="E11" s="645">
        <f>INDEX('inkoop ISDN1-2'!Q:Q,MATCH('inkoop aansluitingen obv ULL'!A11,'inkoop ISDN1-2'!A:A,0))</f>
        <v>9.2350886055555534</v>
      </c>
      <c r="F11" s="645">
        <f>INDEX('inkoop ISDN1-2'!R:R,MATCH('inkoop aansluitingen obv ULL'!A11,'inkoop ISDN1-2'!A:A,0))</f>
        <v>76.89</v>
      </c>
    </row>
    <row r="12" spans="1:7">
      <c r="A12" s="4" t="s">
        <v>1131</v>
      </c>
      <c r="B12" s="4" t="str">
        <f t="shared" si="0"/>
        <v>ISDN2VVE nieuwe aanleg</v>
      </c>
      <c r="C12" s="4" t="s">
        <v>465</v>
      </c>
      <c r="D12" s="4" t="s">
        <v>458</v>
      </c>
      <c r="E12" s="645">
        <f>INDEX('inkoop ISDN1-2'!Q:Q,MATCH('inkoop aansluitingen obv ULL'!A12,'inkoop ISDN1-2'!A:A,0))</f>
        <v>9.2350886055555534</v>
      </c>
      <c r="F12" s="645">
        <f>INDEX('inkoop ISDN1-2'!R:R,MATCH('inkoop aansluitingen obv ULL'!A12,'inkoop ISDN1-2'!A:A,0))</f>
        <v>76.89</v>
      </c>
    </row>
    <row r="13" spans="1:7">
      <c r="A13" s="4" t="s">
        <v>1132</v>
      </c>
      <c r="B13" s="4" t="str">
        <f t="shared" si="0"/>
        <v>ISDN15VVE nieuwe aanleg</v>
      </c>
      <c r="C13" s="4" t="s">
        <v>466</v>
      </c>
      <c r="D13" s="4" t="s">
        <v>458</v>
      </c>
      <c r="E13" s="645">
        <f>INDEX('inkoop ISDN15-30'!Q:Q,MATCH('inkoop aansluitingen obv ULL'!A13,'inkoop ISDN15-30'!A:A,0))</f>
        <v>18.738178527777777</v>
      </c>
      <c r="F13" s="645">
        <f>INDEX('inkoop ISDN15-30'!R:R,MATCH('inkoop aansluitingen obv ULL'!A13,'inkoop ISDN15-30'!A:A,0))</f>
        <v>153.78</v>
      </c>
    </row>
    <row r="14" spans="1:7">
      <c r="A14" s="4" t="s">
        <v>1132</v>
      </c>
      <c r="B14" s="4" t="str">
        <f t="shared" si="0"/>
        <v>ISDN20VVE nieuwe aanleg</v>
      </c>
      <c r="C14" s="4" t="s">
        <v>468</v>
      </c>
      <c r="D14" s="4" t="s">
        <v>458</v>
      </c>
      <c r="E14" s="645">
        <f>INDEX('inkoop ISDN15-30'!Q:Q,MATCH('inkoop aansluitingen obv ULL'!A14,'inkoop ISDN15-30'!A:A,0))</f>
        <v>18.738178527777777</v>
      </c>
      <c r="F14" s="645">
        <f>INDEX('inkoop ISDN15-30'!R:R,MATCH('inkoop aansluitingen obv ULL'!A14,'inkoop ISDN15-30'!A:A,0))</f>
        <v>153.78</v>
      </c>
    </row>
    <row r="15" spans="1:7">
      <c r="A15" s="4" t="s">
        <v>1132</v>
      </c>
      <c r="B15" s="4" t="str">
        <f t="shared" si="0"/>
        <v>ISDN30 eerste aansluitingVVE nieuwe aanleg</v>
      </c>
      <c r="C15" s="4" t="s">
        <v>869</v>
      </c>
      <c r="D15" s="4" t="s">
        <v>458</v>
      </c>
      <c r="E15" s="645">
        <f>INDEX('inkoop ISDN15-30'!Q:Q,MATCH('inkoop aansluitingen obv ULL'!A15,'inkoop ISDN15-30'!A:A,0))</f>
        <v>18.738178527777777</v>
      </c>
      <c r="F15" s="645">
        <f>INDEX('inkoop ISDN15-30'!R:R,MATCH('inkoop aansluitingen obv ULL'!A15,'inkoop ISDN15-30'!A:A,0))</f>
        <v>153.78</v>
      </c>
    </row>
    <row r="16" spans="1:7">
      <c r="A16" s="4" t="s">
        <v>1132</v>
      </c>
      <c r="B16" s="4" t="str">
        <f t="shared" si="0"/>
        <v>ISDN30 volgende aansluitingVVE nieuwe aanleg</v>
      </c>
      <c r="C16" s="4" t="s">
        <v>870</v>
      </c>
      <c r="D16" s="4" t="s">
        <v>458</v>
      </c>
      <c r="E16" s="645">
        <f>INDEX('inkoop ISDN15-30'!Q:Q,MATCH('inkoop aansluitingen obv ULL'!A16,'inkoop ISDN15-30'!A:A,0))</f>
        <v>18.738178527777777</v>
      </c>
      <c r="F16" s="645">
        <f>INDEX('inkoop ISDN15-30'!R:R,MATCH('inkoop aansluitingen obv ULL'!A16,'inkoop ISDN15-30'!A:A,0))</f>
        <v>153.78</v>
      </c>
    </row>
    <row r="17" spans="2:7">
      <c r="B17" s="4" t="str">
        <f>C17&amp;D17</f>
        <v>CityPhoneVVE overstap</v>
      </c>
      <c r="C17" s="4" t="s">
        <v>470</v>
      </c>
      <c r="D17" s="4" t="s">
        <v>459</v>
      </c>
      <c r="E17" s="645">
        <f>SUM('EDC minus lijst ULL'!$E$35:$J$35)</f>
        <v>0.42000000000000004</v>
      </c>
      <c r="F17" s="1108">
        <f>'EDC minus lijst ULL'!$D$35*'Parameters ULL'!E10</f>
        <v>3.6</v>
      </c>
      <c r="G17" s="4" t="s">
        <v>1185</v>
      </c>
    </row>
    <row r="18" spans="2:7">
      <c r="B18" s="4" t="str">
        <f>C18&amp;D18</f>
        <v>CityPhoneVVE nieuwe aanleg</v>
      </c>
      <c r="C18" s="4" t="s">
        <v>470</v>
      </c>
      <c r="D18" s="4" t="s">
        <v>458</v>
      </c>
      <c r="E18" s="645">
        <f>SUM('EDC minus lijst ULL'!$E$35:$J$35)</f>
        <v>0.42000000000000004</v>
      </c>
      <c r="F18" s="1108">
        <f>'EDC minus lijst ULL'!$D$35*'Parameters ULL'!E10</f>
        <v>3.6</v>
      </c>
    </row>
    <row r="19" spans="2:7">
      <c r="B19" s="4" t="str">
        <f>C19&amp;D19</f>
        <v/>
      </c>
      <c r="C19" s="133"/>
      <c r="D19" s="133"/>
      <c r="E19" s="647">
        <f>E11</f>
        <v>9.2350886055555534</v>
      </c>
      <c r="F19" s="647">
        <f>F11</f>
        <v>76.89</v>
      </c>
      <c r="G19" s="4" t="s">
        <v>1178</v>
      </c>
    </row>
  </sheetData>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2"/>
  <dimension ref="A1:Q70"/>
  <sheetViews>
    <sheetView topLeftCell="A40" workbookViewId="0">
      <selection activeCell="B66" sqref="B66"/>
    </sheetView>
  </sheetViews>
  <sheetFormatPr defaultColWidth="9.109375" defaultRowHeight="12"/>
  <cols>
    <col min="1" max="1" width="46.5546875" style="4" bestFit="1" customWidth="1"/>
    <col min="2" max="2" width="20.109375" style="4" customWidth="1"/>
    <col min="3" max="16384" width="9.109375" style="4"/>
  </cols>
  <sheetData>
    <row r="1" spans="1:15" ht="14.4">
      <c r="A1" s="95" t="s">
        <v>0</v>
      </c>
      <c r="B1" s="95" t="s">
        <v>1</v>
      </c>
      <c r="E1" s="662"/>
      <c r="F1" s="662"/>
      <c r="G1" s="662"/>
      <c r="H1" s="662"/>
      <c r="I1" s="232"/>
    </row>
    <row r="2" spans="1:15" ht="14.4">
      <c r="A2" s="13" t="s">
        <v>937</v>
      </c>
      <c r="B2" s="818">
        <v>0.1</v>
      </c>
      <c r="E2"/>
      <c r="F2"/>
      <c r="G2"/>
      <c r="H2"/>
      <c r="I2"/>
      <c r="J2"/>
      <c r="K2"/>
      <c r="L2"/>
      <c r="M2"/>
      <c r="N2"/>
      <c r="O2"/>
    </row>
    <row r="3" spans="1:15" ht="14.4">
      <c r="A3" s="13" t="s">
        <v>938</v>
      </c>
      <c r="B3" s="818">
        <v>0.1</v>
      </c>
      <c r="E3"/>
      <c r="F3"/>
      <c r="G3"/>
      <c r="H3"/>
      <c r="I3"/>
      <c r="J3"/>
      <c r="K3"/>
      <c r="L3"/>
      <c r="M3"/>
      <c r="N3"/>
      <c r="O3"/>
    </row>
    <row r="4" spans="1:15" ht="14.4">
      <c r="A4" s="13" t="s">
        <v>670</v>
      </c>
      <c r="B4" s="818">
        <v>0.1</v>
      </c>
      <c r="E4"/>
      <c r="F4"/>
      <c r="G4"/>
      <c r="H4"/>
      <c r="I4"/>
      <c r="J4"/>
      <c r="K4"/>
      <c r="L4"/>
      <c r="M4"/>
      <c r="N4"/>
      <c r="O4"/>
    </row>
    <row r="5" spans="1:15" ht="14.4">
      <c r="A5" s="13"/>
      <c r="B5" s="14"/>
      <c r="E5"/>
      <c r="F5"/>
      <c r="G5"/>
      <c r="H5"/>
      <c r="I5"/>
      <c r="J5"/>
      <c r="K5"/>
      <c r="L5"/>
      <c r="M5"/>
      <c r="N5"/>
      <c r="O5"/>
    </row>
    <row r="6" spans="1:15" ht="14.4">
      <c r="A6" s="13"/>
      <c r="B6" s="14"/>
      <c r="E6"/>
      <c r="F6"/>
      <c r="G6"/>
      <c r="H6"/>
      <c r="I6"/>
      <c r="J6"/>
      <c r="K6"/>
      <c r="L6"/>
      <c r="M6"/>
      <c r="N6"/>
      <c r="O6"/>
    </row>
    <row r="7" spans="1:15" ht="14.4">
      <c r="A7" s="13"/>
      <c r="B7" s="14"/>
      <c r="E7"/>
      <c r="F7"/>
      <c r="G7"/>
      <c r="H7"/>
      <c r="I7"/>
      <c r="J7"/>
      <c r="K7"/>
      <c r="L7"/>
      <c r="M7"/>
      <c r="N7"/>
      <c r="O7"/>
    </row>
    <row r="8" spans="1:15">
      <c r="A8" s="13"/>
      <c r="B8" s="14"/>
    </row>
    <row r="9" spans="1:15">
      <c r="A9" s="13" t="s">
        <v>2</v>
      </c>
      <c r="B9" s="13">
        <v>36</v>
      </c>
    </row>
    <row r="10" spans="1:15">
      <c r="A10" s="241"/>
      <c r="B10" s="241"/>
    </row>
    <row r="11" spans="1:15">
      <c r="A11" s="241"/>
      <c r="B11" s="242"/>
    </row>
    <row r="14" spans="1:15" s="257" customFormat="1" ht="12.75" customHeight="1">
      <c r="A14" s="287"/>
      <c r="B14" s="288"/>
    </row>
    <row r="15" spans="1:15" s="257" customFormat="1">
      <c r="A15" s="241"/>
      <c r="B15" s="289"/>
    </row>
    <row r="16" spans="1:15" s="257" customFormat="1">
      <c r="A16" s="241"/>
      <c r="B16" s="289"/>
    </row>
    <row r="17" spans="1:5" s="257" customFormat="1">
      <c r="A17" s="241"/>
      <c r="B17" s="289"/>
    </row>
    <row r="19" spans="1:5">
      <c r="A19" s="95" t="s">
        <v>425</v>
      </c>
      <c r="B19" s="95" t="s">
        <v>202</v>
      </c>
      <c r="C19" s="95" t="s">
        <v>419</v>
      </c>
      <c r="D19" s="95" t="s">
        <v>1</v>
      </c>
    </row>
    <row r="20" spans="1:5">
      <c r="A20" s="4" t="str">
        <f>B20&amp;C20</f>
        <v>BIBAnational</v>
      </c>
      <c r="B20" s="13" t="s">
        <v>11</v>
      </c>
      <c r="C20" s="14" t="s">
        <v>205</v>
      </c>
      <c r="D20" s="816">
        <v>0.25</v>
      </c>
      <c r="E20" s="179"/>
    </row>
    <row r="21" spans="1:5">
      <c r="A21" s="4" t="str">
        <f t="shared" ref="A21:A31" si="0">B21&amp;C21</f>
        <v>BIBAregional</v>
      </c>
      <c r="B21" s="13" t="s">
        <v>11</v>
      </c>
      <c r="C21" s="14" t="s">
        <v>203</v>
      </c>
      <c r="D21" s="816">
        <v>0.5</v>
      </c>
      <c r="E21" s="179"/>
    </row>
    <row r="22" spans="1:5">
      <c r="A22" s="4" t="str">
        <f t="shared" si="0"/>
        <v>BIBAlocal</v>
      </c>
      <c r="B22" s="13" t="s">
        <v>11</v>
      </c>
      <c r="C22" s="14" t="s">
        <v>204</v>
      </c>
      <c r="D22" s="816">
        <v>0.25</v>
      </c>
      <c r="E22" s="179"/>
    </row>
    <row r="23" spans="1:5">
      <c r="A23" s="4" t="str">
        <f t="shared" si="0"/>
        <v>BUBAnational</v>
      </c>
      <c r="B23" s="13" t="s">
        <v>15</v>
      </c>
      <c r="C23" s="14" t="s">
        <v>205</v>
      </c>
      <c r="D23" s="816">
        <v>0.3</v>
      </c>
      <c r="E23" s="179"/>
    </row>
    <row r="24" spans="1:5">
      <c r="A24" s="4" t="str">
        <f t="shared" si="0"/>
        <v>BUBAregional</v>
      </c>
      <c r="B24" s="13" t="s">
        <v>15</v>
      </c>
      <c r="C24" s="14" t="s">
        <v>203</v>
      </c>
      <c r="D24" s="816">
        <v>0.5</v>
      </c>
      <c r="E24" s="179"/>
    </row>
    <row r="25" spans="1:5">
      <c r="A25" s="4" t="str">
        <f t="shared" si="0"/>
        <v>BUBAlocal</v>
      </c>
      <c r="B25" s="13" t="s">
        <v>15</v>
      </c>
      <c r="C25" s="14" t="s">
        <v>204</v>
      </c>
      <c r="D25" s="816">
        <v>0.2</v>
      </c>
      <c r="E25" s="179"/>
    </row>
    <row r="26" spans="1:5">
      <c r="A26" s="4" t="str">
        <f t="shared" si="0"/>
        <v>VAMOnational</v>
      </c>
      <c r="B26" s="13" t="s">
        <v>16</v>
      </c>
      <c r="C26" s="14" t="s">
        <v>205</v>
      </c>
      <c r="D26" s="816">
        <v>0.5</v>
      </c>
    </row>
    <row r="27" spans="1:5">
      <c r="A27" s="4" t="str">
        <f t="shared" si="0"/>
        <v>VAMOregional</v>
      </c>
      <c r="B27" s="13" t="s">
        <v>16</v>
      </c>
      <c r="C27" s="14" t="s">
        <v>203</v>
      </c>
      <c r="D27" s="816">
        <v>0.5</v>
      </c>
    </row>
    <row r="28" spans="1:5">
      <c r="A28" s="4" t="str">
        <f t="shared" si="0"/>
        <v>VAMOlocal</v>
      </c>
      <c r="B28" s="13" t="s">
        <v>16</v>
      </c>
      <c r="C28" s="14" t="s">
        <v>204</v>
      </c>
      <c r="D28" s="816">
        <v>0</v>
      </c>
    </row>
    <row r="29" spans="1:5">
      <c r="A29" s="4" t="str">
        <f t="shared" si="0"/>
        <v>IDDnational</v>
      </c>
      <c r="B29" s="13" t="s">
        <v>17</v>
      </c>
      <c r="C29" s="14" t="s">
        <v>205</v>
      </c>
      <c r="D29" s="817">
        <v>0.5</v>
      </c>
    </row>
    <row r="30" spans="1:5">
      <c r="A30" s="4" t="str">
        <f t="shared" si="0"/>
        <v>IDDregional</v>
      </c>
      <c r="B30" s="13" t="s">
        <v>17</v>
      </c>
      <c r="C30" s="14" t="s">
        <v>203</v>
      </c>
      <c r="D30" s="817">
        <v>0.5</v>
      </c>
    </row>
    <row r="31" spans="1:5">
      <c r="A31" s="4" t="str">
        <f t="shared" si="0"/>
        <v>IDDlocal</v>
      </c>
      <c r="B31" s="13" t="s">
        <v>17</v>
      </c>
      <c r="C31" s="14" t="s">
        <v>204</v>
      </c>
      <c r="D31" s="817">
        <v>0</v>
      </c>
    </row>
    <row r="33" spans="1:4">
      <c r="A33" s="118" t="s">
        <v>1215</v>
      </c>
    </row>
    <row r="34" spans="1:4">
      <c r="A34" s="95" t="s">
        <v>425</v>
      </c>
      <c r="B34" s="95" t="s">
        <v>680</v>
      </c>
      <c r="C34" s="95" t="s">
        <v>1209</v>
      </c>
      <c r="D34" s="95" t="s">
        <v>1</v>
      </c>
    </row>
    <row r="35" spans="1:4" s="232" customFormat="1">
      <c r="A35" s="232" t="str">
        <f t="shared" ref="A35:A43" si="1">B35&amp;C35</f>
        <v>BIBAnaarKPN</v>
      </c>
      <c r="B35" s="232" t="s">
        <v>11</v>
      </c>
      <c r="C35" s="232" t="s">
        <v>1210</v>
      </c>
      <c r="D35" s="819">
        <v>0.5</v>
      </c>
    </row>
    <row r="36" spans="1:4" s="232" customFormat="1">
      <c r="A36" s="232" t="str">
        <f t="shared" si="1"/>
        <v>BIBAnaarOLO</v>
      </c>
      <c r="B36" s="232" t="s">
        <v>11</v>
      </c>
      <c r="C36" s="232" t="s">
        <v>1211</v>
      </c>
      <c r="D36" s="819">
        <v>0.5</v>
      </c>
    </row>
    <row r="37" spans="1:4" s="232" customFormat="1">
      <c r="A37" s="232" t="str">
        <f t="shared" si="1"/>
        <v>BUBAnaarKPN</v>
      </c>
      <c r="B37" s="232" t="s">
        <v>15</v>
      </c>
      <c r="C37" s="232" t="s">
        <v>1210</v>
      </c>
      <c r="D37" s="819">
        <v>0.5</v>
      </c>
    </row>
    <row r="38" spans="1:4" s="232" customFormat="1">
      <c r="A38" s="232" t="str">
        <f t="shared" si="1"/>
        <v>BUBAnaarOLO</v>
      </c>
      <c r="B38" s="232" t="s">
        <v>15</v>
      </c>
      <c r="C38" s="232" t="s">
        <v>1211</v>
      </c>
      <c r="D38" s="819">
        <v>0.5</v>
      </c>
    </row>
    <row r="39" spans="1:4" s="232" customFormat="1">
      <c r="A39" s="232" t="str">
        <f t="shared" si="1"/>
        <v>VAMOnaarKPN</v>
      </c>
      <c r="B39" s="232" t="s">
        <v>16</v>
      </c>
      <c r="C39" s="232" t="s">
        <v>1210</v>
      </c>
      <c r="D39" s="819">
        <v>0.5</v>
      </c>
    </row>
    <row r="40" spans="1:4" s="232" customFormat="1">
      <c r="A40" s="232" t="str">
        <f t="shared" si="1"/>
        <v>VAMOnaarOLO</v>
      </c>
      <c r="B40" s="232" t="s">
        <v>16</v>
      </c>
      <c r="C40" s="232" t="s">
        <v>1211</v>
      </c>
      <c r="D40" s="819">
        <v>0.5</v>
      </c>
    </row>
    <row r="41" spans="1:4" s="232" customFormat="1">
      <c r="D41" s="727"/>
    </row>
    <row r="42" spans="1:4" s="232" customFormat="1">
      <c r="A42" s="232" t="str">
        <f t="shared" si="1"/>
        <v>TDM</v>
      </c>
      <c r="C42" s="232" t="s">
        <v>1213</v>
      </c>
      <c r="D42" s="819">
        <v>0.5</v>
      </c>
    </row>
    <row r="43" spans="1:4" s="232" customFormat="1">
      <c r="A43" s="232" t="str">
        <f t="shared" si="1"/>
        <v>VOIP</v>
      </c>
      <c r="C43" s="232" t="s">
        <v>1214</v>
      </c>
      <c r="D43" s="819">
        <v>0.5</v>
      </c>
    </row>
    <row r="48" spans="1:4">
      <c r="A48" s="14" t="s">
        <v>429</v>
      </c>
      <c r="B48" s="820">
        <v>1000000</v>
      </c>
    </row>
    <row r="49" spans="1:17">
      <c r="B49" s="198"/>
    </row>
    <row r="50" spans="1:17">
      <c r="A50" s="14" t="s">
        <v>432</v>
      </c>
      <c r="B50" s="821">
        <v>0.1</v>
      </c>
    </row>
    <row r="52" spans="1:17">
      <c r="A52" s="14" t="s">
        <v>601</v>
      </c>
      <c r="B52" s="854">
        <v>0.2</v>
      </c>
    </row>
    <row r="53" spans="1:17">
      <c r="A53" s="14" t="s">
        <v>602</v>
      </c>
      <c r="B53" s="854">
        <v>0.2</v>
      </c>
    </row>
    <row r="55" spans="1:17" s="257" customFormat="1">
      <c r="A55" s="289"/>
      <c r="B55" s="290"/>
    </row>
    <row r="56" spans="1:17" s="257" customFormat="1" ht="14.4">
      <c r="A56" s="451"/>
      <c r="B56" s="450"/>
      <c r="C56" s="450"/>
      <c r="D56" s="450"/>
      <c r="E56" s="450"/>
      <c r="F56" s="450"/>
      <c r="G56" s="450"/>
      <c r="H56" s="450"/>
      <c r="I56" s="450"/>
      <c r="J56" s="450"/>
      <c r="K56" s="450"/>
      <c r="L56" s="450"/>
      <c r="M56" s="450"/>
      <c r="N56" s="450"/>
      <c r="O56" s="450"/>
      <c r="P56" s="450"/>
      <c r="Q56" s="450"/>
    </row>
    <row r="57" spans="1:17" s="257" customFormat="1" ht="14.4">
      <c r="A57" s="460" t="s">
        <v>882</v>
      </c>
      <c r="B57" s="450"/>
      <c r="C57" s="450"/>
      <c r="D57" s="450"/>
      <c r="E57" s="450"/>
      <c r="F57" s="450"/>
      <c r="G57" s="450"/>
      <c r="H57" s="450"/>
      <c r="I57" s="450"/>
      <c r="J57" s="450"/>
      <c r="K57" s="450"/>
      <c r="L57" s="450"/>
      <c r="M57" s="450"/>
      <c r="N57" s="450"/>
      <c r="O57" s="450"/>
      <c r="P57" s="450"/>
      <c r="Q57" s="450"/>
    </row>
    <row r="58" spans="1:17" s="257" customFormat="1" ht="14.4">
      <c r="A58" s="4" t="s">
        <v>903</v>
      </c>
      <c r="B58" s="4">
        <v>1</v>
      </c>
      <c r="C58" s="450"/>
      <c r="D58" s="450"/>
      <c r="E58" s="450"/>
      <c r="F58" s="450"/>
      <c r="G58" s="450"/>
      <c r="H58" s="450"/>
      <c r="I58" s="450"/>
      <c r="J58" s="450"/>
      <c r="K58" s="450"/>
      <c r="L58" s="450"/>
      <c r="M58" s="450"/>
      <c r="N58" s="450"/>
      <c r="O58" s="450"/>
      <c r="P58" s="450"/>
      <c r="Q58" s="450"/>
    </row>
    <row r="59" spans="1:17">
      <c r="A59" s="4" t="s">
        <v>879</v>
      </c>
      <c r="B59" s="4">
        <v>2</v>
      </c>
    </row>
    <row r="60" spans="1:17">
      <c r="A60" s="4" t="s">
        <v>880</v>
      </c>
      <c r="B60" s="4">
        <v>4</v>
      </c>
    </row>
    <row r="61" spans="1:17">
      <c r="A61" s="4" t="s">
        <v>881</v>
      </c>
      <c r="B61" s="4">
        <v>2</v>
      </c>
    </row>
    <row r="63" spans="1:17" ht="14.4">
      <c r="A63" s="460" t="s">
        <v>930</v>
      </c>
    </row>
    <row r="64" spans="1:17" ht="13.2">
      <c r="A64" s="484"/>
      <c r="B64" s="484"/>
    </row>
    <row r="65" spans="1:4">
      <c r="A65" s="487" t="s">
        <v>931</v>
      </c>
      <c r="B65" s="488" t="s">
        <v>935</v>
      </c>
      <c r="D65" s="489"/>
    </row>
    <row r="66" spans="1:4">
      <c r="A66" s="490" t="s">
        <v>886</v>
      </c>
      <c r="B66" s="822">
        <v>0.01</v>
      </c>
      <c r="C66" s="485"/>
    </row>
    <row r="67" spans="1:4">
      <c r="A67" s="490" t="s">
        <v>932</v>
      </c>
      <c r="B67" s="822">
        <v>0.97</v>
      </c>
      <c r="C67" s="485"/>
    </row>
    <row r="68" spans="1:4">
      <c r="A68" s="490" t="s">
        <v>933</v>
      </c>
      <c r="B68" s="822">
        <v>0.01</v>
      </c>
      <c r="C68" s="485"/>
    </row>
    <row r="69" spans="1:4">
      <c r="A69" s="490" t="s">
        <v>934</v>
      </c>
      <c r="B69" s="822">
        <v>0.01</v>
      </c>
      <c r="C69" s="485"/>
    </row>
    <row r="70" spans="1:4">
      <c r="C70" s="486"/>
    </row>
  </sheetData>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3"/>
  <dimension ref="A2:L203"/>
  <sheetViews>
    <sheetView topLeftCell="B114" workbookViewId="0">
      <selection activeCell="C135" sqref="C135:C136"/>
    </sheetView>
  </sheetViews>
  <sheetFormatPr defaultColWidth="9.109375" defaultRowHeight="12"/>
  <cols>
    <col min="1" max="1" width="28.88671875" style="4" bestFit="1" customWidth="1"/>
    <col min="2" max="2" width="42.33203125" style="4" bestFit="1" customWidth="1"/>
    <col min="3" max="3" width="35.33203125" style="4" bestFit="1" customWidth="1"/>
    <col min="4" max="4" width="24.33203125" style="4" bestFit="1" customWidth="1"/>
    <col min="5" max="5" width="35.33203125" style="4" bestFit="1" customWidth="1"/>
    <col min="6" max="6" width="9.33203125" style="4" bestFit="1" customWidth="1"/>
    <col min="7" max="7" width="10.5546875" style="4" customWidth="1"/>
    <col min="8" max="8" width="14.33203125" style="4" customWidth="1"/>
    <col min="9" max="9" width="8.33203125" style="4" bestFit="1" customWidth="1"/>
    <col min="10" max="10" width="9.109375" style="4"/>
    <col min="11" max="11" width="25.5546875" style="4" customWidth="1"/>
    <col min="12" max="12" width="32" style="4" bestFit="1" customWidth="1"/>
    <col min="13" max="16384" width="9.109375" style="4"/>
  </cols>
  <sheetData>
    <row r="2" spans="1:8" ht="13.8">
      <c r="B2" s="15" t="s">
        <v>10</v>
      </c>
      <c r="C2" s="1"/>
      <c r="D2" s="1"/>
      <c r="E2" s="2"/>
      <c r="F2" s="2"/>
      <c r="G2" s="3"/>
      <c r="H2" s="3"/>
    </row>
    <row r="3" spans="1:8">
      <c r="B3" s="5"/>
      <c r="C3" s="6"/>
      <c r="D3" s="6"/>
      <c r="F3" s="7"/>
      <c r="G3" s="8"/>
      <c r="H3" s="8"/>
    </row>
    <row r="4" spans="1:8" ht="24">
      <c r="A4" s="9" t="s">
        <v>1228</v>
      </c>
      <c r="B4" s="9" t="s">
        <v>3</v>
      </c>
      <c r="C4" s="9" t="s">
        <v>18</v>
      </c>
      <c r="D4" s="9" t="s">
        <v>467</v>
      </c>
      <c r="E4" s="9" t="s">
        <v>490</v>
      </c>
      <c r="F4" s="10" t="s">
        <v>4</v>
      </c>
      <c r="G4" s="10" t="s">
        <v>458</v>
      </c>
      <c r="H4" s="10" t="s">
        <v>459</v>
      </c>
    </row>
    <row r="5" spans="1:8">
      <c r="B5" s="11" t="str">
        <f t="shared" ref="B5:B17" si="0">C5&amp;D5&amp;E5</f>
        <v>KPN BelBasis CMPSTN</v>
      </c>
      <c r="C5" s="12" t="s">
        <v>1134</v>
      </c>
      <c r="D5" s="12" t="s">
        <v>463</v>
      </c>
      <c r="F5" s="824">
        <v>100</v>
      </c>
      <c r="G5" s="824">
        <v>100</v>
      </c>
      <c r="H5" s="824">
        <v>100</v>
      </c>
    </row>
    <row r="6" spans="1:8">
      <c r="B6" s="11" t="str">
        <f t="shared" si="0"/>
        <v>KPN BelBasis CMISDN1</v>
      </c>
      <c r="C6" s="12" t="s">
        <v>1134</v>
      </c>
      <c r="D6" s="12" t="s">
        <v>464</v>
      </c>
      <c r="E6" s="9"/>
      <c r="F6" s="824">
        <v>100</v>
      </c>
      <c r="G6" s="824">
        <v>100</v>
      </c>
      <c r="H6" s="824">
        <v>100</v>
      </c>
    </row>
    <row r="7" spans="1:8">
      <c r="B7" s="11" t="str">
        <f t="shared" si="0"/>
        <v>KPN BelBasis CMISDN2</v>
      </c>
      <c r="C7" s="12" t="s">
        <v>1134</v>
      </c>
      <c r="D7" s="12" t="s">
        <v>465</v>
      </c>
      <c r="E7" s="9"/>
      <c r="F7" s="824">
        <v>100</v>
      </c>
      <c r="G7" s="824">
        <v>100</v>
      </c>
      <c r="H7" s="824">
        <v>100</v>
      </c>
    </row>
    <row r="8" spans="1:8">
      <c r="B8" s="969" t="str">
        <f t="shared" si="0"/>
        <v>KPN BelVrij Weekend CMPSTN</v>
      </c>
      <c r="C8" s="970" t="s">
        <v>1277</v>
      </c>
      <c r="D8" s="970" t="s">
        <v>463</v>
      </c>
      <c r="E8" s="971"/>
      <c r="F8" s="972">
        <v>100</v>
      </c>
      <c r="G8" s="972">
        <v>100</v>
      </c>
      <c r="H8" s="972">
        <v>100</v>
      </c>
    </row>
    <row r="9" spans="1:8">
      <c r="B9" s="969" t="str">
        <f t="shared" si="0"/>
        <v>KPN BelVrij Weekend CMISDN1</v>
      </c>
      <c r="C9" s="970" t="s">
        <v>1277</v>
      </c>
      <c r="D9" s="970" t="s">
        <v>464</v>
      </c>
      <c r="E9" s="971"/>
      <c r="F9" s="972">
        <v>100</v>
      </c>
      <c r="G9" s="972">
        <v>100</v>
      </c>
      <c r="H9" s="972">
        <v>100</v>
      </c>
    </row>
    <row r="10" spans="1:8">
      <c r="B10" s="969" t="str">
        <f t="shared" si="0"/>
        <v>KPN BelVrij Weekend CMISDN2</v>
      </c>
      <c r="C10" s="970" t="s">
        <v>1277</v>
      </c>
      <c r="D10" s="970" t="s">
        <v>465</v>
      </c>
      <c r="E10" s="971"/>
      <c r="F10" s="972">
        <v>100</v>
      </c>
      <c r="G10" s="972">
        <v>100</v>
      </c>
      <c r="H10" s="972">
        <v>100</v>
      </c>
    </row>
    <row r="11" spans="1:8">
      <c r="B11" s="969" t="str">
        <f t="shared" si="0"/>
        <v>KPN BelVrij Avond&amp;Weekend CMPSTN</v>
      </c>
      <c r="C11" s="970" t="s">
        <v>1278</v>
      </c>
      <c r="D11" s="970" t="s">
        <v>463</v>
      </c>
      <c r="E11" s="971"/>
      <c r="F11" s="972">
        <v>100</v>
      </c>
      <c r="G11" s="972">
        <v>100</v>
      </c>
      <c r="H11" s="972">
        <v>100</v>
      </c>
    </row>
    <row r="12" spans="1:8">
      <c r="B12" s="969" t="str">
        <f t="shared" si="0"/>
        <v>KPN BelVrij Avond&amp;Weekend CMISDN1</v>
      </c>
      <c r="C12" s="970" t="s">
        <v>1278</v>
      </c>
      <c r="D12" s="970" t="s">
        <v>464</v>
      </c>
      <c r="E12" s="971"/>
      <c r="F12" s="972">
        <v>100</v>
      </c>
      <c r="G12" s="972">
        <v>100</v>
      </c>
      <c r="H12" s="972">
        <v>100</v>
      </c>
    </row>
    <row r="13" spans="1:8">
      <c r="B13" s="969" t="str">
        <f t="shared" si="0"/>
        <v>KPN BelVrij Avond&amp;Weekend CMISDN2</v>
      </c>
      <c r="C13" s="970" t="s">
        <v>1278</v>
      </c>
      <c r="D13" s="970" t="s">
        <v>465</v>
      </c>
      <c r="E13" s="971"/>
      <c r="F13" s="972">
        <v>100</v>
      </c>
      <c r="G13" s="972">
        <v>100</v>
      </c>
      <c r="H13" s="972">
        <v>100</v>
      </c>
    </row>
    <row r="14" spans="1:8">
      <c r="B14" s="969" t="str">
        <f t="shared" si="0"/>
        <v>KPN BelVrij Altijd CMPSTN</v>
      </c>
      <c r="C14" s="970" t="s">
        <v>1279</v>
      </c>
      <c r="D14" s="970" t="s">
        <v>463</v>
      </c>
      <c r="E14" s="971"/>
      <c r="F14" s="972">
        <v>100</v>
      </c>
      <c r="G14" s="972">
        <v>100</v>
      </c>
      <c r="H14" s="972">
        <v>100</v>
      </c>
    </row>
    <row r="15" spans="1:8">
      <c r="B15" s="969" t="str">
        <f t="shared" si="0"/>
        <v>KPN BelVrij Altijd CMISDN1</v>
      </c>
      <c r="C15" s="970" t="s">
        <v>1279</v>
      </c>
      <c r="D15" s="970" t="s">
        <v>464</v>
      </c>
      <c r="E15" s="971"/>
      <c r="F15" s="972">
        <v>100</v>
      </c>
      <c r="G15" s="972">
        <v>100</v>
      </c>
      <c r="H15" s="972">
        <v>100</v>
      </c>
    </row>
    <row r="16" spans="1:8">
      <c r="B16" s="969" t="str">
        <f t="shared" si="0"/>
        <v>KPN BelVrij Altijd CMISDN2</v>
      </c>
      <c r="C16" s="970" t="s">
        <v>1279</v>
      </c>
      <c r="D16" s="970" t="s">
        <v>465</v>
      </c>
      <c r="E16" s="971"/>
      <c r="F16" s="972">
        <v>100</v>
      </c>
      <c r="G16" s="972">
        <v>100</v>
      </c>
      <c r="H16" s="972">
        <v>100</v>
      </c>
    </row>
    <row r="17" spans="1:11">
      <c r="B17" s="11" t="str">
        <f t="shared" si="0"/>
        <v/>
      </c>
      <c r="C17" s="9"/>
      <c r="D17" s="9"/>
      <c r="E17" s="9"/>
      <c r="F17" s="10"/>
      <c r="G17" s="10"/>
      <c r="H17" s="10"/>
    </row>
    <row r="18" spans="1:11">
      <c r="A18" s="4" t="s">
        <v>1229</v>
      </c>
      <c r="B18" s="11" t="str">
        <f>C18&amp;D18&amp;E18</f>
        <v>KPN Zakelijk BelBasisPSTN</v>
      </c>
      <c r="C18" s="12" t="s">
        <v>471</v>
      </c>
      <c r="D18" s="12" t="s">
        <v>463</v>
      </c>
      <c r="F18" s="824">
        <v>100</v>
      </c>
      <c r="G18" s="824">
        <v>100</v>
      </c>
      <c r="H18" s="824">
        <v>100</v>
      </c>
    </row>
    <row r="19" spans="1:11">
      <c r="A19" s="4" t="s">
        <v>718</v>
      </c>
      <c r="B19" s="11" t="str">
        <f t="shared" ref="B19:B33" si="1">C19&amp;D19&amp;E19</f>
        <v>KPN Zakelijk BelBasisISDN1</v>
      </c>
      <c r="C19" s="12" t="s">
        <v>471</v>
      </c>
      <c r="D19" s="12" t="s">
        <v>464</v>
      </c>
      <c r="F19" s="824">
        <v>100</v>
      </c>
      <c r="G19" s="824">
        <v>100</v>
      </c>
      <c r="H19" s="824">
        <v>100</v>
      </c>
    </row>
    <row r="20" spans="1:11">
      <c r="A20" s="4" t="s">
        <v>719</v>
      </c>
      <c r="B20" s="11" t="str">
        <f t="shared" si="1"/>
        <v>KPN Zakelijk BelBasisISDN2</v>
      </c>
      <c r="C20" s="12" t="s">
        <v>471</v>
      </c>
      <c r="D20" s="12" t="s">
        <v>465</v>
      </c>
      <c r="F20" s="824">
        <v>100</v>
      </c>
      <c r="G20" s="824">
        <v>100</v>
      </c>
      <c r="H20" s="824">
        <v>100</v>
      </c>
    </row>
    <row r="21" spans="1:11">
      <c r="A21" s="4" t="s">
        <v>720</v>
      </c>
      <c r="B21" s="11" t="str">
        <f t="shared" si="1"/>
        <v>KPN Zakelijk BelBasisISDN15</v>
      </c>
      <c r="C21" s="12" t="s">
        <v>471</v>
      </c>
      <c r="D21" s="12" t="s">
        <v>466</v>
      </c>
      <c r="F21" s="824">
        <v>100</v>
      </c>
      <c r="G21" s="824">
        <v>100</v>
      </c>
      <c r="H21" s="824">
        <v>100</v>
      </c>
    </row>
    <row r="22" spans="1:11">
      <c r="A22" s="4" t="s">
        <v>721</v>
      </c>
      <c r="B22" s="11" t="str">
        <f t="shared" si="1"/>
        <v>KPN Zakelijk BelBasisISDN20</v>
      </c>
      <c r="C22" s="12" t="s">
        <v>471</v>
      </c>
      <c r="D22" s="12" t="s">
        <v>468</v>
      </c>
      <c r="F22" s="824">
        <v>100</v>
      </c>
      <c r="G22" s="824">
        <v>100</v>
      </c>
      <c r="H22" s="824">
        <v>100</v>
      </c>
    </row>
    <row r="23" spans="1:11">
      <c r="A23" s="4" t="s">
        <v>875</v>
      </c>
      <c r="B23" s="11" t="str">
        <f t="shared" si="1"/>
        <v>KPN Zakelijk BelBasisISDN30 eerste aansluiting</v>
      </c>
      <c r="C23" s="12" t="s">
        <v>471</v>
      </c>
      <c r="D23" s="12" t="s">
        <v>869</v>
      </c>
      <c r="F23" s="824">
        <v>100</v>
      </c>
      <c r="G23" s="824">
        <v>100</v>
      </c>
      <c r="H23" s="824">
        <v>100</v>
      </c>
    </row>
    <row r="24" spans="1:11">
      <c r="A24" s="4" t="s">
        <v>1230</v>
      </c>
      <c r="B24" s="11" t="str">
        <f t="shared" si="1"/>
        <v>KPN Zakelijk BelBasisISDN30 volgende aansluiting</v>
      </c>
      <c r="C24" s="12" t="s">
        <v>471</v>
      </c>
      <c r="D24" s="12" t="s">
        <v>870</v>
      </c>
      <c r="F24" s="824">
        <v>100</v>
      </c>
      <c r="G24" s="824">
        <v>100</v>
      </c>
      <c r="H24" s="824">
        <v>100</v>
      </c>
    </row>
    <row r="25" spans="1:11">
      <c r="A25" s="4" t="s">
        <v>722</v>
      </c>
      <c r="B25" s="11" t="str">
        <f t="shared" si="1"/>
        <v>KPN Zakelijk BelBasisCityPhone</v>
      </c>
      <c r="C25" s="12" t="s">
        <v>471</v>
      </c>
      <c r="D25" s="12" t="s">
        <v>470</v>
      </c>
      <c r="F25" s="824">
        <v>100</v>
      </c>
      <c r="G25" s="824">
        <v>100</v>
      </c>
      <c r="H25" s="824">
        <v>100</v>
      </c>
    </row>
    <row r="26" spans="1:11">
      <c r="A26" s="4" t="s">
        <v>1231</v>
      </c>
      <c r="B26" s="11" t="str">
        <f t="shared" si="1"/>
        <v>TZ BelBasisPSTN</v>
      </c>
      <c r="C26" s="12" t="s">
        <v>472</v>
      </c>
      <c r="D26" s="12" t="s">
        <v>463</v>
      </c>
      <c r="F26" s="824">
        <v>100</v>
      </c>
      <c r="G26" s="824">
        <v>100</v>
      </c>
      <c r="H26" s="824">
        <v>100</v>
      </c>
      <c r="I26" s="307"/>
      <c r="J26" s="307"/>
      <c r="K26" s="307"/>
    </row>
    <row r="27" spans="1:11">
      <c r="A27" s="4" t="s">
        <v>1232</v>
      </c>
      <c r="B27" s="11" t="str">
        <f t="shared" si="1"/>
        <v>TZ BelBasisISDN1</v>
      </c>
      <c r="C27" s="12" t="s">
        <v>472</v>
      </c>
      <c r="D27" s="12" t="s">
        <v>464</v>
      </c>
      <c r="F27" s="824">
        <v>100</v>
      </c>
      <c r="G27" s="824">
        <v>100</v>
      </c>
      <c r="H27" s="824">
        <v>100</v>
      </c>
      <c r="I27" s="307"/>
      <c r="J27" s="307"/>
      <c r="K27" s="307"/>
    </row>
    <row r="28" spans="1:11">
      <c r="A28" s="4" t="s">
        <v>1233</v>
      </c>
      <c r="B28" s="11" t="str">
        <f t="shared" si="1"/>
        <v>TZ BelBasisISDN2</v>
      </c>
      <c r="C28" s="12" t="s">
        <v>472</v>
      </c>
      <c r="D28" s="12" t="s">
        <v>465</v>
      </c>
      <c r="F28" s="824">
        <v>100</v>
      </c>
      <c r="G28" s="824">
        <v>100</v>
      </c>
      <c r="H28" s="824">
        <v>100</v>
      </c>
      <c r="I28" s="307"/>
      <c r="J28" s="307"/>
      <c r="K28" s="307"/>
    </row>
    <row r="29" spans="1:11">
      <c r="A29" s="4" t="s">
        <v>1234</v>
      </c>
      <c r="B29" s="11" t="str">
        <f t="shared" si="1"/>
        <v>TZ BelBasisISDN15</v>
      </c>
      <c r="C29" s="12" t="s">
        <v>472</v>
      </c>
      <c r="D29" s="12" t="s">
        <v>466</v>
      </c>
      <c r="F29" s="824">
        <v>100</v>
      </c>
      <c r="G29" s="824">
        <v>100</v>
      </c>
      <c r="H29" s="824">
        <v>100</v>
      </c>
      <c r="I29" s="307"/>
      <c r="J29" s="307"/>
      <c r="K29" s="307"/>
    </row>
    <row r="30" spans="1:11">
      <c r="A30" s="4" t="s">
        <v>1235</v>
      </c>
      <c r="B30" s="11" t="str">
        <f t="shared" si="1"/>
        <v>TZ BelBasisISDN20</v>
      </c>
      <c r="C30" s="12" t="s">
        <v>472</v>
      </c>
      <c r="D30" s="12" t="s">
        <v>468</v>
      </c>
      <c r="F30" s="824">
        <v>100</v>
      </c>
      <c r="G30" s="824">
        <v>100</v>
      </c>
      <c r="H30" s="824">
        <v>100</v>
      </c>
      <c r="I30" s="307"/>
      <c r="J30" s="307"/>
      <c r="K30" s="307"/>
    </row>
    <row r="31" spans="1:11">
      <c r="A31" s="4" t="s">
        <v>1236</v>
      </c>
      <c r="B31" s="11" t="str">
        <f t="shared" si="1"/>
        <v>TZ BelBasisISDN30 eerste aansluiting</v>
      </c>
      <c r="C31" s="12" t="s">
        <v>472</v>
      </c>
      <c r="D31" s="12" t="s">
        <v>869</v>
      </c>
      <c r="F31" s="824">
        <v>100</v>
      </c>
      <c r="G31" s="824">
        <v>100</v>
      </c>
      <c r="H31" s="824">
        <v>100</v>
      </c>
      <c r="I31" s="307"/>
      <c r="J31" s="307"/>
      <c r="K31" s="307"/>
    </row>
    <row r="32" spans="1:11">
      <c r="A32" s="4" t="s">
        <v>1237</v>
      </c>
      <c r="B32" s="11" t="str">
        <f t="shared" si="1"/>
        <v>TZ BelBasisISDN30 volgende aansluiting</v>
      </c>
      <c r="C32" s="12" t="s">
        <v>472</v>
      </c>
      <c r="D32" s="12" t="s">
        <v>870</v>
      </c>
      <c r="F32" s="824">
        <v>100</v>
      </c>
      <c r="G32" s="824">
        <v>100</v>
      </c>
      <c r="H32" s="824">
        <v>100</v>
      </c>
      <c r="I32" s="307"/>
      <c r="J32" s="307"/>
      <c r="K32" s="307"/>
    </row>
    <row r="33" spans="1:12">
      <c r="A33" s="4" t="s">
        <v>1238</v>
      </c>
      <c r="B33" s="11" t="str">
        <f t="shared" si="1"/>
        <v>TZ BelBasisCityPhone</v>
      </c>
      <c r="C33" s="12" t="s">
        <v>472</v>
      </c>
      <c r="D33" s="12" t="s">
        <v>470</v>
      </c>
      <c r="F33" s="824">
        <v>100</v>
      </c>
      <c r="G33" s="824">
        <v>100</v>
      </c>
      <c r="H33" s="824">
        <v>100</v>
      </c>
      <c r="I33" s="307"/>
      <c r="J33" s="307"/>
      <c r="K33" s="307"/>
    </row>
    <row r="34" spans="1:12">
      <c r="A34" s="4" t="s">
        <v>714</v>
      </c>
      <c r="B34" s="11" t="str">
        <f>C34&amp;D34&amp;E34</f>
        <v>Slim BereikbaarISDN1</v>
      </c>
      <c r="C34" s="12" t="s">
        <v>716</v>
      </c>
      <c r="D34" s="12" t="s">
        <v>464</v>
      </c>
      <c r="F34" s="824">
        <v>100</v>
      </c>
      <c r="G34" s="824">
        <v>100</v>
      </c>
      <c r="H34" s="824">
        <v>100</v>
      </c>
    </row>
    <row r="35" spans="1:12">
      <c r="A35" s="4" t="s">
        <v>715</v>
      </c>
      <c r="B35" s="11" t="str">
        <f>C35&amp;D35&amp;E35</f>
        <v>Slim BereikbaarISDN2</v>
      </c>
      <c r="C35" s="12" t="s">
        <v>716</v>
      </c>
      <c r="D35" s="12" t="s">
        <v>465</v>
      </c>
      <c r="F35" s="824">
        <v>100</v>
      </c>
      <c r="G35" s="824">
        <v>100</v>
      </c>
      <c r="H35" s="824">
        <v>100</v>
      </c>
    </row>
    <row r="36" spans="1:12">
      <c r="B36" s="11"/>
      <c r="C36" s="12"/>
      <c r="D36" s="12"/>
    </row>
    <row r="37" spans="1:12">
      <c r="B37" s="11" t="str">
        <f>C37&amp;D37&amp;E37</f>
        <v>ZBTPSTN100</v>
      </c>
      <c r="C37" s="777" t="s">
        <v>488</v>
      </c>
      <c r="D37" s="777" t="s">
        <v>463</v>
      </c>
      <c r="E37" s="824">
        <v>100</v>
      </c>
      <c r="F37" s="824">
        <v>100</v>
      </c>
      <c r="G37" s="824">
        <v>100</v>
      </c>
      <c r="H37" s="824">
        <v>100</v>
      </c>
    </row>
    <row r="38" spans="1:12">
      <c r="B38" s="11" t="str">
        <f>C38&amp;D38&amp;E38</f>
        <v>ZBTISDN1100</v>
      </c>
      <c r="C38" s="12" t="s">
        <v>488</v>
      </c>
      <c r="D38" s="12" t="s">
        <v>464</v>
      </c>
      <c r="E38" s="824">
        <v>100</v>
      </c>
      <c r="F38" s="824">
        <v>100</v>
      </c>
      <c r="G38" s="824">
        <v>100</v>
      </c>
      <c r="H38" s="824">
        <v>100</v>
      </c>
    </row>
    <row r="39" spans="1:12">
      <c r="B39" s="11" t="str">
        <f t="shared" ref="B39" si="2">C39&amp;D39&amp;E39</f>
        <v>ZBTISDN2100</v>
      </c>
      <c r="C39" s="12" t="s">
        <v>488</v>
      </c>
      <c r="D39" s="12" t="s">
        <v>465</v>
      </c>
      <c r="E39" s="824">
        <v>100</v>
      </c>
      <c r="F39" s="824">
        <v>100</v>
      </c>
      <c r="G39" s="824">
        <v>100</v>
      </c>
      <c r="H39" s="824">
        <v>100</v>
      </c>
    </row>
    <row r="40" spans="1:12">
      <c r="B40" s="11" t="str">
        <f t="shared" ref="B40" si="3">C40&amp;D40&amp;E40</f>
        <v>ZBTISDN15100</v>
      </c>
      <c r="C40" s="12" t="s">
        <v>488</v>
      </c>
      <c r="D40" s="12" t="s">
        <v>466</v>
      </c>
      <c r="E40" s="824">
        <v>100</v>
      </c>
      <c r="F40" s="824">
        <v>100</v>
      </c>
      <c r="G40" s="824">
        <v>100</v>
      </c>
      <c r="H40" s="824">
        <v>100</v>
      </c>
      <c r="I40" s="172"/>
    </row>
    <row r="41" spans="1:12">
      <c r="B41" s="11" t="str">
        <f t="shared" ref="B41" si="4">C41&amp;D41&amp;E41</f>
        <v>ZBTISDN20100</v>
      </c>
      <c r="C41" s="12" t="s">
        <v>488</v>
      </c>
      <c r="D41" s="12" t="s">
        <v>468</v>
      </c>
      <c r="E41" s="824">
        <v>100</v>
      </c>
      <c r="F41" s="824">
        <v>100</v>
      </c>
      <c r="G41" s="824">
        <v>100</v>
      </c>
      <c r="H41" s="824">
        <v>100</v>
      </c>
      <c r="I41" s="172"/>
    </row>
    <row r="42" spans="1:12">
      <c r="B42" s="11" t="str">
        <f t="shared" ref="B42" si="5">C42&amp;D42&amp;E42</f>
        <v>ZBTISDN30 eerste aansluiting100</v>
      </c>
      <c r="C42" s="12" t="s">
        <v>488</v>
      </c>
      <c r="D42" s="12" t="s">
        <v>869</v>
      </c>
      <c r="E42" s="824">
        <v>100</v>
      </c>
      <c r="F42" s="824">
        <v>100</v>
      </c>
      <c r="G42" s="824">
        <v>100</v>
      </c>
      <c r="H42" s="824">
        <v>100</v>
      </c>
      <c r="I42" s="172"/>
    </row>
    <row r="43" spans="1:12">
      <c r="B43" s="11" t="str">
        <f t="shared" ref="B43" si="6">C43&amp;D43&amp;E43</f>
        <v>ZBTCityphone100</v>
      </c>
      <c r="C43" s="12" t="s">
        <v>488</v>
      </c>
      <c r="D43" s="12" t="s">
        <v>520</v>
      </c>
      <c r="E43" s="824">
        <v>100</v>
      </c>
      <c r="F43" s="824">
        <v>100</v>
      </c>
      <c r="G43" s="824">
        <v>100</v>
      </c>
      <c r="H43" s="824">
        <v>100</v>
      </c>
      <c r="I43" s="172"/>
    </row>
    <row r="44" spans="1:12">
      <c r="B44" s="11"/>
      <c r="C44" s="12"/>
      <c r="D44" s="12"/>
      <c r="I44" s="172"/>
    </row>
    <row r="45" spans="1:12">
      <c r="B45" s="11" t="str">
        <f t="shared" ref="B45" si="7">C45&amp;D45&amp;E45</f>
        <v>TZ ZBTPSTN100</v>
      </c>
      <c r="C45" s="12" t="s">
        <v>717</v>
      </c>
      <c r="D45" s="12" t="s">
        <v>463</v>
      </c>
      <c r="E45" s="824">
        <v>100</v>
      </c>
      <c r="F45" s="824">
        <v>100</v>
      </c>
      <c r="G45" s="824">
        <v>100</v>
      </c>
      <c r="H45" s="824">
        <v>100</v>
      </c>
      <c r="I45" s="307"/>
      <c r="J45" s="172"/>
      <c r="K45" s="307"/>
      <c r="L45" s="307"/>
    </row>
    <row r="46" spans="1:12">
      <c r="B46" s="11" t="str">
        <f t="shared" ref="B46:B47" si="8">C46&amp;D46&amp;E46</f>
        <v>TZ ZBTISDN1100</v>
      </c>
      <c r="C46" s="12" t="s">
        <v>717</v>
      </c>
      <c r="D46" s="12" t="s">
        <v>464</v>
      </c>
      <c r="E46" s="824">
        <v>100</v>
      </c>
      <c r="F46" s="824">
        <v>100</v>
      </c>
      <c r="G46" s="824">
        <v>100</v>
      </c>
      <c r="H46" s="824">
        <v>100</v>
      </c>
      <c r="I46" s="307"/>
      <c r="J46" s="172"/>
      <c r="K46" s="307"/>
      <c r="L46" s="307"/>
    </row>
    <row r="47" spans="1:12">
      <c r="B47" s="11" t="str">
        <f t="shared" si="8"/>
        <v>TZ ZBTISDN2100</v>
      </c>
      <c r="C47" s="12" t="s">
        <v>717</v>
      </c>
      <c r="D47" s="12" t="s">
        <v>465</v>
      </c>
      <c r="E47" s="824">
        <v>100</v>
      </c>
      <c r="F47" s="824">
        <v>100</v>
      </c>
      <c r="G47" s="824">
        <v>100</v>
      </c>
      <c r="H47" s="824">
        <v>100</v>
      </c>
      <c r="I47" s="307"/>
      <c r="J47" s="172"/>
      <c r="K47" s="307"/>
      <c r="L47" s="307"/>
    </row>
    <row r="48" spans="1:12">
      <c r="B48" s="11" t="str">
        <f t="shared" ref="B48:B49" si="9">C48&amp;D48&amp;E48</f>
        <v>TZ ZBTISDN15100</v>
      </c>
      <c r="C48" s="12" t="s">
        <v>717</v>
      </c>
      <c r="D48" s="12" t="s">
        <v>466</v>
      </c>
      <c r="E48" s="824">
        <v>100</v>
      </c>
      <c r="F48" s="824">
        <v>100</v>
      </c>
      <c r="G48" s="824">
        <v>100</v>
      </c>
      <c r="H48" s="824">
        <v>100</v>
      </c>
      <c r="I48" s="307"/>
      <c r="J48" s="172"/>
      <c r="K48" s="307"/>
      <c r="L48" s="307"/>
    </row>
    <row r="49" spans="2:12">
      <c r="B49" s="11" t="str">
        <f t="shared" si="9"/>
        <v>TZ ZBTISDN20100</v>
      </c>
      <c r="C49" s="12" t="s">
        <v>717</v>
      </c>
      <c r="D49" s="12" t="s">
        <v>468</v>
      </c>
      <c r="E49" s="824">
        <v>100</v>
      </c>
      <c r="F49" s="824">
        <v>100</v>
      </c>
      <c r="G49" s="824">
        <v>100</v>
      </c>
      <c r="H49" s="824">
        <v>100</v>
      </c>
      <c r="I49" s="307"/>
      <c r="J49" s="172"/>
      <c r="K49" s="307"/>
      <c r="L49" s="307"/>
    </row>
    <row r="50" spans="2:12">
      <c r="B50" s="11" t="str">
        <f t="shared" ref="B50" si="10">C50&amp;D50&amp;E50</f>
        <v>TZ ZBTISDN30 eerste aansluiting100</v>
      </c>
      <c r="C50" s="12" t="s">
        <v>717</v>
      </c>
      <c r="D50" s="12" t="s">
        <v>869</v>
      </c>
      <c r="E50" s="824">
        <v>100</v>
      </c>
      <c r="F50" s="824">
        <v>100</v>
      </c>
      <c r="G50" s="824">
        <v>100</v>
      </c>
      <c r="H50" s="824">
        <v>100</v>
      </c>
      <c r="I50" s="307"/>
      <c r="J50" s="172"/>
      <c r="K50" s="307"/>
      <c r="L50" s="307"/>
    </row>
    <row r="51" spans="2:12">
      <c r="B51" s="11" t="str">
        <f t="shared" ref="B51" si="11">C51&amp;D51&amp;E51</f>
        <v>TZ ZBTCityphone100</v>
      </c>
      <c r="C51" s="12" t="s">
        <v>717</v>
      </c>
      <c r="D51" s="12" t="s">
        <v>520</v>
      </c>
      <c r="E51" s="824">
        <v>100</v>
      </c>
      <c r="F51" s="824">
        <v>100</v>
      </c>
      <c r="G51" s="824">
        <v>100</v>
      </c>
      <c r="H51" s="824">
        <v>100</v>
      </c>
      <c r="I51" s="307"/>
      <c r="J51" s="172"/>
      <c r="K51" s="307"/>
      <c r="L51" s="307"/>
    </row>
    <row r="52" spans="2:12">
      <c r="B52" s="11"/>
      <c r="C52" s="12"/>
      <c r="D52" s="12"/>
      <c r="E52" s="286"/>
      <c r="F52" s="111"/>
      <c r="G52" s="111"/>
      <c r="H52" s="111"/>
    </row>
    <row r="53" spans="2:12">
      <c r="F53" s="111"/>
      <c r="G53" s="111"/>
      <c r="H53" s="111"/>
    </row>
    <row r="54" spans="2:12" ht="13.8">
      <c r="B54" s="15" t="s">
        <v>491</v>
      </c>
      <c r="C54" s="1"/>
      <c r="D54" s="1"/>
      <c r="E54" s="2"/>
      <c r="F54" s="2"/>
      <c r="G54" s="3"/>
      <c r="H54" s="3"/>
    </row>
    <row r="56" spans="2:12">
      <c r="B56" s="9" t="s">
        <v>3</v>
      </c>
      <c r="C56" s="9" t="s">
        <v>7</v>
      </c>
      <c r="D56" s="9" t="s">
        <v>8</v>
      </c>
      <c r="E56" s="9" t="s">
        <v>18</v>
      </c>
      <c r="G56" s="10" t="s">
        <v>13</v>
      </c>
      <c r="H56" s="10" t="s">
        <v>14</v>
      </c>
    </row>
    <row r="57" spans="2:12">
      <c r="B57" s="4" t="str">
        <f t="shared" ref="B57:B72" si="12">E57&amp;C57</f>
        <v>KPN BelBasis CMBIBA</v>
      </c>
      <c r="C57" s="12" t="s">
        <v>11</v>
      </c>
      <c r="D57" s="12" t="s">
        <v>9</v>
      </c>
      <c r="E57" s="12" t="s">
        <v>1134</v>
      </c>
      <c r="G57" s="826">
        <v>0</v>
      </c>
      <c r="H57" s="826">
        <v>0.1</v>
      </c>
    </row>
    <row r="58" spans="2:12">
      <c r="B58" s="4" t="str">
        <f t="shared" si="12"/>
        <v>KPN BelBasis CMBUBA</v>
      </c>
      <c r="C58" s="12" t="s">
        <v>15</v>
      </c>
      <c r="D58" s="12" t="s">
        <v>9</v>
      </c>
      <c r="E58" s="12" t="s">
        <v>1134</v>
      </c>
      <c r="G58" s="826">
        <v>0</v>
      </c>
      <c r="H58" s="826">
        <v>0.1</v>
      </c>
    </row>
    <row r="59" spans="2:12">
      <c r="B59" s="4" t="str">
        <f t="shared" si="12"/>
        <v>KPN BelBasis CMVAMO</v>
      </c>
      <c r="C59" s="12" t="s">
        <v>16</v>
      </c>
      <c r="D59" s="12" t="s">
        <v>9</v>
      </c>
      <c r="E59" s="12" t="s">
        <v>1134</v>
      </c>
      <c r="G59" s="826">
        <v>0</v>
      </c>
      <c r="H59" s="826">
        <v>0.1</v>
      </c>
    </row>
    <row r="60" spans="2:12">
      <c r="B60" s="4" t="str">
        <f t="shared" si="12"/>
        <v>KPN BelBasis CMIDD</v>
      </c>
      <c r="C60" s="12" t="s">
        <v>17</v>
      </c>
      <c r="D60" s="12" t="s">
        <v>9</v>
      </c>
      <c r="E60" s="12" t="s">
        <v>1134</v>
      </c>
      <c r="G60" s="826">
        <v>0</v>
      </c>
      <c r="H60" s="826">
        <v>0.1</v>
      </c>
      <c r="I60" s="4" t="s">
        <v>1291</v>
      </c>
    </row>
    <row r="61" spans="2:12">
      <c r="B61" s="4" t="str">
        <f t="shared" si="12"/>
        <v>KPN BelVrij Weekend CMBIBA</v>
      </c>
      <c r="C61" s="12" t="s">
        <v>11</v>
      </c>
      <c r="D61" s="12" t="s">
        <v>9</v>
      </c>
      <c r="E61" s="12" t="s">
        <v>1277</v>
      </c>
      <c r="G61" s="826">
        <v>0</v>
      </c>
      <c r="H61" s="826">
        <v>0</v>
      </c>
      <c r="I61" s="4" t="s">
        <v>1292</v>
      </c>
    </row>
    <row r="62" spans="2:12">
      <c r="B62" s="4" t="str">
        <f t="shared" si="12"/>
        <v>KPN BelVrij Weekend CMBUBA</v>
      </c>
      <c r="C62" s="12" t="s">
        <v>15</v>
      </c>
      <c r="D62" s="12" t="s">
        <v>9</v>
      </c>
      <c r="E62" s="12" t="s">
        <v>1277</v>
      </c>
      <c r="G62" s="826">
        <v>0</v>
      </c>
      <c r="H62" s="826">
        <v>0</v>
      </c>
    </row>
    <row r="63" spans="2:12">
      <c r="B63" s="4" t="str">
        <f t="shared" si="12"/>
        <v>KPN BelVrij Weekend CMVAMO</v>
      </c>
      <c r="C63" s="12" t="s">
        <v>16</v>
      </c>
      <c r="D63" s="12" t="s">
        <v>9</v>
      </c>
      <c r="E63" s="12" t="s">
        <v>1277</v>
      </c>
      <c r="G63" s="826">
        <v>0</v>
      </c>
      <c r="H63" s="826">
        <v>0</v>
      </c>
    </row>
    <row r="64" spans="2:12">
      <c r="B64" s="4" t="str">
        <f t="shared" si="12"/>
        <v>KPN BelVrij Weekend CMIDD</v>
      </c>
      <c r="C64" s="12" t="s">
        <v>17</v>
      </c>
      <c r="D64" s="12" t="s">
        <v>9</v>
      </c>
      <c r="E64" s="12" t="s">
        <v>1277</v>
      </c>
      <c r="G64" s="826">
        <v>0</v>
      </c>
      <c r="H64" s="826">
        <v>0</v>
      </c>
      <c r="I64" s="4" t="s">
        <v>1293</v>
      </c>
    </row>
    <row r="65" spans="2:8">
      <c r="B65" s="4" t="str">
        <f t="shared" si="12"/>
        <v>KPN BelVrij Avond&amp;Weekend CMBIBA</v>
      </c>
      <c r="C65" s="12" t="s">
        <v>11</v>
      </c>
      <c r="D65" s="12" t="s">
        <v>9</v>
      </c>
      <c r="E65" s="12" t="s">
        <v>1278</v>
      </c>
      <c r="G65" s="826">
        <v>0</v>
      </c>
      <c r="H65" s="826">
        <v>0</v>
      </c>
    </row>
    <row r="66" spans="2:8">
      <c r="B66" s="4" t="str">
        <f t="shared" si="12"/>
        <v>KPN BelVrij Avond&amp;Weekend CMBUBA</v>
      </c>
      <c r="C66" s="12" t="s">
        <v>15</v>
      </c>
      <c r="D66" s="12" t="s">
        <v>9</v>
      </c>
      <c r="E66" s="12" t="s">
        <v>1278</v>
      </c>
      <c r="G66" s="826">
        <v>0</v>
      </c>
      <c r="H66" s="826">
        <v>0</v>
      </c>
    </row>
    <row r="67" spans="2:8">
      <c r="B67" s="4" t="str">
        <f t="shared" si="12"/>
        <v>KPN BelVrij Avond&amp;Weekend CMVAMO</v>
      </c>
      <c r="C67" s="12" t="s">
        <v>16</v>
      </c>
      <c r="D67" s="12" t="s">
        <v>9</v>
      </c>
      <c r="E67" s="12" t="s">
        <v>1278</v>
      </c>
      <c r="G67" s="826">
        <v>0</v>
      </c>
      <c r="H67" s="826">
        <v>0</v>
      </c>
    </row>
    <row r="68" spans="2:8">
      <c r="B68" s="4" t="str">
        <f t="shared" si="12"/>
        <v>KPN BelVrij Avond&amp;Weekend CMIDD</v>
      </c>
      <c r="C68" s="12" t="s">
        <v>17</v>
      </c>
      <c r="D68" s="12" t="s">
        <v>9</v>
      </c>
      <c r="E68" s="12" t="s">
        <v>1278</v>
      </c>
      <c r="G68" s="826">
        <v>0</v>
      </c>
      <c r="H68" s="826">
        <v>0</v>
      </c>
    </row>
    <row r="69" spans="2:8">
      <c r="B69" s="4" t="str">
        <f t="shared" si="12"/>
        <v>KPN BelVrij Altijd CMBIBA</v>
      </c>
      <c r="C69" s="12" t="s">
        <v>11</v>
      </c>
      <c r="D69" s="12" t="s">
        <v>9</v>
      </c>
      <c r="E69" s="12" t="s">
        <v>1279</v>
      </c>
      <c r="G69" s="826">
        <v>0</v>
      </c>
      <c r="H69" s="826">
        <v>0</v>
      </c>
    </row>
    <row r="70" spans="2:8">
      <c r="B70" s="4" t="str">
        <f t="shared" si="12"/>
        <v>KPN BelVrij Altijd CMBUBA</v>
      </c>
      <c r="C70" s="12" t="s">
        <v>15</v>
      </c>
      <c r="D70" s="12" t="s">
        <v>9</v>
      </c>
      <c r="E70" s="12" t="s">
        <v>1279</v>
      </c>
      <c r="G70" s="826">
        <v>0</v>
      </c>
      <c r="H70" s="826">
        <v>0</v>
      </c>
    </row>
    <row r="71" spans="2:8">
      <c r="B71" s="4" t="str">
        <f t="shared" si="12"/>
        <v>KPN BelVrij Altijd CMVAMO</v>
      </c>
      <c r="C71" s="12" t="s">
        <v>16</v>
      </c>
      <c r="D71" s="12" t="s">
        <v>9</v>
      </c>
      <c r="E71" s="12" t="s">
        <v>1279</v>
      </c>
      <c r="G71" s="826">
        <v>0</v>
      </c>
      <c r="H71" s="826">
        <v>0</v>
      </c>
    </row>
    <row r="72" spans="2:8">
      <c r="B72" s="4" t="str">
        <f t="shared" si="12"/>
        <v>KPN BelVrij Altijd CMIDD</v>
      </c>
      <c r="C72" s="12" t="s">
        <v>17</v>
      </c>
      <c r="D72" s="12" t="s">
        <v>9</v>
      </c>
      <c r="E72" s="12" t="s">
        <v>1279</v>
      </c>
      <c r="G72" s="826">
        <v>0</v>
      </c>
      <c r="H72" s="826">
        <v>0</v>
      </c>
    </row>
    <row r="73" spans="2:8">
      <c r="B73" s="4" t="str">
        <f>E73&amp;C73</f>
        <v>Zakelijk BelBasisBIBA</v>
      </c>
      <c r="C73" s="12" t="s">
        <v>11</v>
      </c>
      <c r="D73" s="12" t="s">
        <v>9</v>
      </c>
      <c r="E73" s="12" t="s">
        <v>19</v>
      </c>
      <c r="G73" s="826">
        <v>0.1</v>
      </c>
      <c r="H73" s="826">
        <v>0.05</v>
      </c>
    </row>
    <row r="74" spans="2:8">
      <c r="B74" s="4" t="str">
        <f t="shared" ref="B74:B114" si="13">E74&amp;C74</f>
        <v>Zakelijk BelBasisBUBA</v>
      </c>
      <c r="C74" s="12" t="s">
        <v>15</v>
      </c>
      <c r="D74" s="12" t="s">
        <v>9</v>
      </c>
      <c r="E74" s="12" t="s">
        <v>19</v>
      </c>
      <c r="G74" s="826">
        <v>0.1</v>
      </c>
      <c r="H74" s="826">
        <v>0.05</v>
      </c>
    </row>
    <row r="75" spans="2:8">
      <c r="B75" s="4" t="str">
        <f t="shared" si="13"/>
        <v>Zakelijk BelBasis088-verkeer</v>
      </c>
      <c r="C75" s="12" t="s">
        <v>871</v>
      </c>
      <c r="D75" s="12" t="s">
        <v>9</v>
      </c>
      <c r="E75" s="12" t="s">
        <v>19</v>
      </c>
      <c r="G75" s="826">
        <v>0.1</v>
      </c>
      <c r="H75" s="826">
        <v>0.05</v>
      </c>
    </row>
    <row r="76" spans="2:8">
      <c r="B76" s="4" t="str">
        <f t="shared" si="13"/>
        <v>Zakelijk BelBasisVAMO</v>
      </c>
      <c r="C76" s="12" t="s">
        <v>16</v>
      </c>
      <c r="D76" s="12" t="s">
        <v>9</v>
      </c>
      <c r="E76" s="12" t="s">
        <v>19</v>
      </c>
      <c r="G76" s="826">
        <v>0.1</v>
      </c>
      <c r="H76" s="826">
        <v>0.05</v>
      </c>
    </row>
    <row r="77" spans="2:8">
      <c r="B77" s="4" t="str">
        <f t="shared" si="13"/>
        <v>Zakelijk BelBasisIDD</v>
      </c>
      <c r="C77" s="12" t="s">
        <v>17</v>
      </c>
      <c r="D77" s="12" t="s">
        <v>9</v>
      </c>
      <c r="E77" s="12" t="s">
        <v>19</v>
      </c>
      <c r="G77" s="826">
        <v>0.1</v>
      </c>
      <c r="H77" s="826">
        <v>0.05</v>
      </c>
    </row>
    <row r="78" spans="2:8">
      <c r="B78" s="4" t="str">
        <f t="shared" si="13"/>
        <v>ZBTBIBA</v>
      </c>
      <c r="C78" s="12" t="s">
        <v>11</v>
      </c>
      <c r="D78" s="12" t="s">
        <v>9</v>
      </c>
      <c r="E78" s="12" t="s">
        <v>488</v>
      </c>
      <c r="G78" s="826">
        <v>0.1</v>
      </c>
      <c r="H78" s="826">
        <v>0.05</v>
      </c>
    </row>
    <row r="79" spans="2:8">
      <c r="B79" s="4" t="str">
        <f t="shared" si="13"/>
        <v>ZBTBUBA</v>
      </c>
      <c r="C79" s="12" t="s">
        <v>15</v>
      </c>
      <c r="D79" s="12" t="s">
        <v>9</v>
      </c>
      <c r="E79" s="12" t="s">
        <v>488</v>
      </c>
      <c r="G79" s="826">
        <v>0.1</v>
      </c>
      <c r="H79" s="826">
        <v>0.05</v>
      </c>
    </row>
    <row r="80" spans="2:8">
      <c r="B80" s="4" t="str">
        <f t="shared" si="13"/>
        <v>ZBTVAMO</v>
      </c>
      <c r="C80" s="12" t="s">
        <v>16</v>
      </c>
      <c r="D80" s="12" t="s">
        <v>9</v>
      </c>
      <c r="E80" s="12" t="s">
        <v>488</v>
      </c>
      <c r="G80" s="826">
        <v>0.1</v>
      </c>
      <c r="H80" s="826">
        <v>0.05</v>
      </c>
    </row>
    <row r="81" spans="2:8">
      <c r="B81" s="4" t="str">
        <f t="shared" si="13"/>
        <v>ZBTIDD</v>
      </c>
      <c r="C81" s="12" t="s">
        <v>17</v>
      </c>
      <c r="D81" s="12" t="s">
        <v>9</v>
      </c>
      <c r="E81" s="12" t="s">
        <v>488</v>
      </c>
      <c r="G81" s="827">
        <v>0.1</v>
      </c>
      <c r="H81" s="827">
        <v>0.05</v>
      </c>
    </row>
    <row r="82" spans="2:8">
      <c r="B82" s="4" t="str">
        <f t="shared" si="13"/>
        <v>Business Voice NationaalBIBA</v>
      </c>
      <c r="C82" s="12" t="s">
        <v>11</v>
      </c>
      <c r="D82" s="12" t="s">
        <v>9</v>
      </c>
      <c r="E82" s="12" t="s">
        <v>492</v>
      </c>
      <c r="G82" s="827">
        <v>0.1</v>
      </c>
      <c r="H82" s="827">
        <v>0.05</v>
      </c>
    </row>
    <row r="83" spans="2:8">
      <c r="B83" s="4" t="str">
        <f t="shared" si="13"/>
        <v>Business Voice NationaalBUBA</v>
      </c>
      <c r="C83" s="12" t="s">
        <v>15</v>
      </c>
      <c r="D83" s="12" t="s">
        <v>9</v>
      </c>
      <c r="E83" s="12" t="s">
        <v>492</v>
      </c>
      <c r="G83" s="827">
        <v>0.1</v>
      </c>
      <c r="H83" s="827">
        <v>0.05</v>
      </c>
    </row>
    <row r="84" spans="2:8">
      <c r="B84" s="4" t="str">
        <f t="shared" si="13"/>
        <v>Business Voice NationaalVAMO</v>
      </c>
      <c r="C84" s="12" t="s">
        <v>16</v>
      </c>
      <c r="D84" s="12" t="s">
        <v>9</v>
      </c>
      <c r="E84" s="12" t="s">
        <v>492</v>
      </c>
      <c r="G84" s="827">
        <v>0.1</v>
      </c>
      <c r="H84" s="827">
        <v>0.05</v>
      </c>
    </row>
    <row r="85" spans="2:8">
      <c r="B85" s="4" t="str">
        <f t="shared" si="13"/>
        <v>Business Voice NationaalIDD</v>
      </c>
      <c r="C85" s="12" t="s">
        <v>17</v>
      </c>
      <c r="D85" s="12" t="s">
        <v>9</v>
      </c>
      <c r="E85" s="12" t="s">
        <v>492</v>
      </c>
      <c r="G85" s="827">
        <v>0.1</v>
      </c>
      <c r="H85" s="827">
        <v>0.05</v>
      </c>
    </row>
    <row r="86" spans="2:8">
      <c r="B86" s="4" t="str">
        <f t="shared" si="13"/>
        <v>Business Voice Vast MobielBIBA</v>
      </c>
      <c r="C86" s="12" t="s">
        <v>11</v>
      </c>
      <c r="D86" s="12" t="s">
        <v>9</v>
      </c>
      <c r="E86" s="12" t="s">
        <v>504</v>
      </c>
      <c r="G86" s="827">
        <v>0.1</v>
      </c>
      <c r="H86" s="827">
        <v>0.05</v>
      </c>
    </row>
    <row r="87" spans="2:8">
      <c r="B87" s="4" t="str">
        <f t="shared" si="13"/>
        <v>Business Voice Vast MobielBUBA</v>
      </c>
      <c r="C87" s="12" t="s">
        <v>15</v>
      </c>
      <c r="D87" s="12" t="s">
        <v>9</v>
      </c>
      <c r="E87" s="12" t="s">
        <v>504</v>
      </c>
      <c r="G87" s="827">
        <v>0.1</v>
      </c>
      <c r="H87" s="827">
        <v>0.05</v>
      </c>
    </row>
    <row r="88" spans="2:8">
      <c r="B88" s="4" t="str">
        <f t="shared" si="13"/>
        <v>Business Voice Vast MobielVAMO</v>
      </c>
      <c r="C88" s="12" t="s">
        <v>16</v>
      </c>
      <c r="D88" s="12" t="s">
        <v>9</v>
      </c>
      <c r="E88" s="12" t="s">
        <v>504</v>
      </c>
      <c r="G88" s="827">
        <v>0.1</v>
      </c>
      <c r="H88" s="827">
        <v>0.05</v>
      </c>
    </row>
    <row r="89" spans="2:8">
      <c r="B89" s="4" t="str">
        <f t="shared" si="13"/>
        <v>Business Voice Vast MobielIDD</v>
      </c>
      <c r="C89" s="12" t="s">
        <v>17</v>
      </c>
      <c r="D89" s="12" t="s">
        <v>9</v>
      </c>
      <c r="E89" s="12" t="s">
        <v>504</v>
      </c>
      <c r="G89" s="827">
        <v>0.1</v>
      </c>
      <c r="H89" s="827">
        <v>0.05</v>
      </c>
    </row>
    <row r="90" spans="2:8">
      <c r="B90" s="4" t="str">
        <f t="shared" si="13"/>
        <v>Business Voice InternationaalBIBA</v>
      </c>
      <c r="C90" s="12" t="s">
        <v>11</v>
      </c>
      <c r="D90" s="12" t="s">
        <v>9</v>
      </c>
      <c r="E90" s="12" t="s">
        <v>505</v>
      </c>
      <c r="G90" s="827">
        <v>0.1</v>
      </c>
      <c r="H90" s="827">
        <v>0.05</v>
      </c>
    </row>
    <row r="91" spans="2:8">
      <c r="B91" s="4" t="str">
        <f t="shared" si="13"/>
        <v>Business Voice InternationaalBUBA</v>
      </c>
      <c r="C91" s="12" t="s">
        <v>15</v>
      </c>
      <c r="D91" s="12" t="s">
        <v>9</v>
      </c>
      <c r="E91" s="12" t="s">
        <v>505</v>
      </c>
      <c r="G91" s="827">
        <v>0.1</v>
      </c>
      <c r="H91" s="827">
        <v>0.05</v>
      </c>
    </row>
    <row r="92" spans="2:8">
      <c r="B92" s="4" t="str">
        <f t="shared" si="13"/>
        <v>Business Voice InternationaalVAMO</v>
      </c>
      <c r="C92" s="12" t="s">
        <v>16</v>
      </c>
      <c r="D92" s="12" t="s">
        <v>9</v>
      </c>
      <c r="E92" s="12" t="s">
        <v>505</v>
      </c>
      <c r="G92" s="827">
        <v>0.1</v>
      </c>
      <c r="H92" s="827">
        <v>0.05</v>
      </c>
    </row>
    <row r="93" spans="2:8">
      <c r="B93" s="4" t="str">
        <f t="shared" si="13"/>
        <v>Business Voice InternationaalIDD</v>
      </c>
      <c r="C93" s="12" t="s">
        <v>17</v>
      </c>
      <c r="D93" s="12" t="s">
        <v>9</v>
      </c>
      <c r="E93" s="12" t="s">
        <v>505</v>
      </c>
      <c r="G93" s="827">
        <v>0.1</v>
      </c>
      <c r="H93" s="827">
        <v>0.05</v>
      </c>
    </row>
    <row r="94" spans="2:8">
      <c r="B94" s="4" t="str">
        <f t="shared" si="13"/>
        <v>Business Voice Zakelijk GlasBIBA</v>
      </c>
      <c r="C94" s="12" t="s">
        <v>11</v>
      </c>
      <c r="D94" s="12" t="s">
        <v>9</v>
      </c>
      <c r="E94" s="12" t="s">
        <v>434</v>
      </c>
      <c r="G94" s="827">
        <v>0.1</v>
      </c>
      <c r="H94" s="827">
        <v>0.05</v>
      </c>
    </row>
    <row r="95" spans="2:8">
      <c r="B95" s="4" t="str">
        <f t="shared" si="13"/>
        <v>Business Voice Zakelijk GlasBUBA</v>
      </c>
      <c r="C95" s="12" t="s">
        <v>15</v>
      </c>
      <c r="D95" s="12" t="s">
        <v>9</v>
      </c>
      <c r="E95" s="12" t="s">
        <v>434</v>
      </c>
      <c r="G95" s="827">
        <v>0.1</v>
      </c>
      <c r="H95" s="827">
        <v>0.05</v>
      </c>
    </row>
    <row r="96" spans="2:8">
      <c r="B96" s="4" t="str">
        <f t="shared" si="13"/>
        <v>Business Voice Zakelijk GlasVAMO</v>
      </c>
      <c r="C96" s="12" t="s">
        <v>16</v>
      </c>
      <c r="D96" s="12" t="s">
        <v>9</v>
      </c>
      <c r="E96" s="12" t="s">
        <v>434</v>
      </c>
      <c r="G96" s="827">
        <v>0.1</v>
      </c>
      <c r="H96" s="827">
        <v>0.05</v>
      </c>
    </row>
    <row r="97" spans="2:8">
      <c r="B97" s="4" t="str">
        <f t="shared" si="13"/>
        <v>Business Voice Zakelijk GlasIDD</v>
      </c>
      <c r="C97" s="12" t="s">
        <v>17</v>
      </c>
      <c r="D97" s="12" t="s">
        <v>9</v>
      </c>
      <c r="E97" s="12" t="s">
        <v>434</v>
      </c>
      <c r="G97" s="827">
        <v>0.1</v>
      </c>
      <c r="H97" s="827">
        <v>0.05</v>
      </c>
    </row>
    <row r="98" spans="2:8">
      <c r="B98" s="4" t="str">
        <f t="shared" si="13"/>
        <v>CSOBIBA</v>
      </c>
      <c r="C98" s="12" t="s">
        <v>11</v>
      </c>
      <c r="D98" s="12" t="s">
        <v>9</v>
      </c>
      <c r="E98" s="12" t="s">
        <v>599</v>
      </c>
      <c r="G98" s="827">
        <v>0.1</v>
      </c>
      <c r="H98" s="827">
        <v>0.05</v>
      </c>
    </row>
    <row r="99" spans="2:8">
      <c r="B99" s="4" t="str">
        <f t="shared" si="13"/>
        <v>CSOBUBA</v>
      </c>
      <c r="C99" s="12" t="s">
        <v>15</v>
      </c>
      <c r="D99" s="12" t="s">
        <v>9</v>
      </c>
      <c r="E99" s="12" t="s">
        <v>599</v>
      </c>
      <c r="G99" s="827">
        <v>0.1</v>
      </c>
      <c r="H99" s="827">
        <v>0.05</v>
      </c>
    </row>
    <row r="100" spans="2:8">
      <c r="B100" s="4" t="str">
        <f t="shared" si="13"/>
        <v>CSOVAMO</v>
      </c>
      <c r="C100" s="12" t="s">
        <v>16</v>
      </c>
      <c r="D100" s="12" t="s">
        <v>9</v>
      </c>
      <c r="E100" s="12" t="s">
        <v>599</v>
      </c>
      <c r="G100" s="827">
        <v>0.1</v>
      </c>
      <c r="H100" s="827">
        <v>0.05</v>
      </c>
    </row>
    <row r="101" spans="2:8">
      <c r="B101" s="4" t="str">
        <f t="shared" si="13"/>
        <v>CSOIDD</v>
      </c>
      <c r="C101" s="12" t="s">
        <v>17</v>
      </c>
      <c r="D101" s="12" t="s">
        <v>9</v>
      </c>
      <c r="E101" s="12" t="s">
        <v>599</v>
      </c>
      <c r="G101" s="827">
        <v>0.1</v>
      </c>
      <c r="H101" s="827">
        <v>0.05</v>
      </c>
    </row>
    <row r="102" spans="2:8">
      <c r="B102" s="4" t="str">
        <f t="shared" si="13"/>
        <v>Slim BereikbaarBIBA</v>
      </c>
      <c r="C102" s="12" t="s">
        <v>11</v>
      </c>
      <c r="D102" s="12" t="s">
        <v>9</v>
      </c>
      <c r="E102" s="12" t="s">
        <v>716</v>
      </c>
      <c r="G102" s="827">
        <v>0.1</v>
      </c>
      <c r="H102" s="827">
        <v>0.05</v>
      </c>
    </row>
    <row r="103" spans="2:8">
      <c r="B103" s="4" t="str">
        <f t="shared" si="13"/>
        <v>Slim BereikbaarBUBA</v>
      </c>
      <c r="C103" s="12" t="s">
        <v>15</v>
      </c>
      <c r="D103" s="12" t="s">
        <v>9</v>
      </c>
      <c r="E103" s="12" t="s">
        <v>716</v>
      </c>
      <c r="G103" s="827">
        <v>0.1</v>
      </c>
      <c r="H103" s="827">
        <v>0.05</v>
      </c>
    </row>
    <row r="104" spans="2:8">
      <c r="B104" s="4" t="str">
        <f t="shared" si="13"/>
        <v>Slim BereikbaarVAMO</v>
      </c>
      <c r="C104" s="12" t="s">
        <v>16</v>
      </c>
      <c r="D104" s="12" t="s">
        <v>9</v>
      </c>
      <c r="E104" s="12" t="s">
        <v>716</v>
      </c>
      <c r="G104" s="827">
        <v>0.1</v>
      </c>
      <c r="H104" s="827">
        <v>0.05</v>
      </c>
    </row>
    <row r="105" spans="2:8">
      <c r="B105" s="4" t="str">
        <f t="shared" si="13"/>
        <v>Slim BereikbaarIDD</v>
      </c>
      <c r="C105" s="12" t="s">
        <v>17</v>
      </c>
      <c r="D105" s="12" t="s">
        <v>9</v>
      </c>
      <c r="E105" s="12" t="s">
        <v>716</v>
      </c>
      <c r="G105" s="827">
        <v>0.1</v>
      </c>
      <c r="H105" s="827">
        <v>0.05</v>
      </c>
    </row>
    <row r="106" spans="2:8">
      <c r="B106" s="4" t="str">
        <f>E106&amp;C106</f>
        <v>TZ MaxBIBA</v>
      </c>
      <c r="C106" s="12" t="s">
        <v>11</v>
      </c>
      <c r="D106" s="12" t="s">
        <v>12</v>
      </c>
      <c r="E106" s="12" t="s">
        <v>529</v>
      </c>
      <c r="G106" s="826">
        <v>0.1</v>
      </c>
      <c r="H106" s="826">
        <v>0.05</v>
      </c>
    </row>
    <row r="107" spans="2:8">
      <c r="B107" s="4" t="str">
        <f t="shared" si="13"/>
        <v>TZ MaxBUBA</v>
      </c>
      <c r="C107" s="12" t="s">
        <v>15</v>
      </c>
      <c r="D107" s="12" t="s">
        <v>12</v>
      </c>
      <c r="E107" s="12" t="s">
        <v>529</v>
      </c>
      <c r="G107" s="826">
        <v>0.1</v>
      </c>
      <c r="H107" s="826">
        <v>0.05</v>
      </c>
    </row>
    <row r="108" spans="2:8">
      <c r="B108" s="4" t="str">
        <f t="shared" si="13"/>
        <v>TZ Max088-verkeer</v>
      </c>
      <c r="C108" s="12" t="s">
        <v>871</v>
      </c>
      <c r="D108" s="12" t="s">
        <v>12</v>
      </c>
      <c r="E108" s="12" t="s">
        <v>529</v>
      </c>
      <c r="G108" s="826">
        <v>0.1</v>
      </c>
      <c r="H108" s="826">
        <v>0.05</v>
      </c>
    </row>
    <row r="109" spans="2:8">
      <c r="B109" s="4" t="str">
        <f t="shared" si="13"/>
        <v>TZ MaxVAMO</v>
      </c>
      <c r="C109" s="12" t="s">
        <v>16</v>
      </c>
      <c r="D109" s="12" t="s">
        <v>12</v>
      </c>
      <c r="E109" s="12" t="s">
        <v>529</v>
      </c>
      <c r="G109" s="826">
        <v>0.1</v>
      </c>
      <c r="H109" s="826">
        <v>0.05</v>
      </c>
    </row>
    <row r="110" spans="2:8">
      <c r="B110" s="4" t="str">
        <f t="shared" si="13"/>
        <v>TZ MaxIDD</v>
      </c>
      <c r="C110" s="12" t="s">
        <v>17</v>
      </c>
      <c r="D110" s="12" t="s">
        <v>12</v>
      </c>
      <c r="E110" s="12" t="s">
        <v>529</v>
      </c>
      <c r="G110" s="826">
        <v>0.1</v>
      </c>
      <c r="H110" s="826">
        <v>0.05</v>
      </c>
    </row>
    <row r="111" spans="2:8">
      <c r="B111" s="4" t="str">
        <f>E111&amp;C111</f>
        <v>TZ ZBTBIBA</v>
      </c>
      <c r="C111" s="12" t="s">
        <v>11</v>
      </c>
      <c r="D111" s="12" t="s">
        <v>12</v>
      </c>
      <c r="E111" s="12" t="s">
        <v>717</v>
      </c>
      <c r="G111" s="826">
        <v>0.1</v>
      </c>
      <c r="H111" s="826">
        <v>0.05</v>
      </c>
    </row>
    <row r="112" spans="2:8">
      <c r="B112" s="4" t="str">
        <f t="shared" si="13"/>
        <v>TZ ZBTBUBA</v>
      </c>
      <c r="C112" s="12" t="s">
        <v>15</v>
      </c>
      <c r="D112" s="12" t="s">
        <v>12</v>
      </c>
      <c r="E112" s="12" t="s">
        <v>717</v>
      </c>
      <c r="G112" s="826">
        <v>0.1</v>
      </c>
      <c r="H112" s="826">
        <v>0.05</v>
      </c>
    </row>
    <row r="113" spans="2:8">
      <c r="B113" s="4" t="str">
        <f t="shared" si="13"/>
        <v>TZ ZBTVAMO</v>
      </c>
      <c r="C113" s="12" t="s">
        <v>16</v>
      </c>
      <c r="D113" s="12" t="s">
        <v>12</v>
      </c>
      <c r="E113" s="12" t="s">
        <v>717</v>
      </c>
      <c r="G113" s="826">
        <v>0.1</v>
      </c>
      <c r="H113" s="826">
        <v>0.05</v>
      </c>
    </row>
    <row r="114" spans="2:8">
      <c r="B114" s="4" t="str">
        <f t="shared" si="13"/>
        <v>TZ ZBTIDD</v>
      </c>
      <c r="C114" s="12" t="s">
        <v>17</v>
      </c>
      <c r="D114" s="12" t="s">
        <v>12</v>
      </c>
      <c r="E114" s="12" t="s">
        <v>717</v>
      </c>
      <c r="G114" s="826">
        <v>0.1</v>
      </c>
      <c r="H114" s="826">
        <v>0.05</v>
      </c>
    </row>
    <row r="116" spans="2:8" ht="13.8">
      <c r="B116" s="15" t="s">
        <v>531</v>
      </c>
    </row>
    <row r="117" spans="2:8">
      <c r="C117" s="9" t="s">
        <v>7</v>
      </c>
      <c r="D117" s="9" t="s">
        <v>8</v>
      </c>
      <c r="G117" s="9" t="s">
        <v>4</v>
      </c>
      <c r="H117" s="9" t="s">
        <v>5</v>
      </c>
    </row>
    <row r="118" spans="2:8">
      <c r="B118" s="4" t="str">
        <f>D118&amp;C118</f>
        <v>KPNNummerblok 10 eerste</v>
      </c>
      <c r="C118" s="12" t="s">
        <v>541</v>
      </c>
      <c r="D118" s="12" t="s">
        <v>9</v>
      </c>
      <c r="E118" s="12"/>
      <c r="G118" s="825">
        <v>100</v>
      </c>
      <c r="H118" s="825">
        <v>1000</v>
      </c>
    </row>
    <row r="119" spans="2:8">
      <c r="B119" s="4" t="str">
        <f t="shared" ref="B119:B175" si="14">D119&amp;C119</f>
        <v>KPNNummerblok 100 eerste</v>
      </c>
      <c r="C119" s="12" t="s">
        <v>543</v>
      </c>
      <c r="D119" s="12" t="s">
        <v>9</v>
      </c>
      <c r="E119" s="12"/>
      <c r="G119" s="825">
        <v>100</v>
      </c>
      <c r="H119" s="825">
        <v>1000</v>
      </c>
    </row>
    <row r="120" spans="2:8">
      <c r="B120" s="4" t="str">
        <f t="shared" si="14"/>
        <v>KPNNummerblok 1000 eerste</v>
      </c>
      <c r="C120" s="12" t="s">
        <v>545</v>
      </c>
      <c r="D120" s="12" t="s">
        <v>9</v>
      </c>
      <c r="E120" s="12"/>
      <c r="G120" s="825">
        <v>100</v>
      </c>
      <c r="H120" s="825">
        <v>1000</v>
      </c>
    </row>
    <row r="121" spans="2:8">
      <c r="B121" s="4" t="str">
        <f t="shared" si="14"/>
        <v>KPNNummerblok 10000 eerste</v>
      </c>
      <c r="C121" s="12" t="s">
        <v>682</v>
      </c>
      <c r="D121" s="12" t="s">
        <v>9</v>
      </c>
      <c r="E121" s="12"/>
      <c r="G121" s="825">
        <v>100</v>
      </c>
      <c r="H121" s="825">
        <v>1000</v>
      </c>
    </row>
    <row r="122" spans="2:8">
      <c r="B122" s="4" t="str">
        <f t="shared" si="14"/>
        <v>KPNNummerblok 10 volgende</v>
      </c>
      <c r="C122" s="12" t="s">
        <v>542</v>
      </c>
      <c r="D122" s="12" t="s">
        <v>9</v>
      </c>
      <c r="E122" s="12"/>
      <c r="G122" s="825">
        <v>100</v>
      </c>
      <c r="H122" s="825">
        <v>1000</v>
      </c>
    </row>
    <row r="123" spans="2:8">
      <c r="B123" s="4" t="str">
        <f t="shared" si="14"/>
        <v>KPNNummerblok 100 volgende</v>
      </c>
      <c r="C123" s="12" t="s">
        <v>544</v>
      </c>
      <c r="D123" s="12" t="s">
        <v>9</v>
      </c>
      <c r="E123" s="12"/>
      <c r="G123" s="825">
        <v>100</v>
      </c>
      <c r="H123" s="825">
        <v>1000</v>
      </c>
    </row>
    <row r="124" spans="2:8">
      <c r="B124" s="4" t="str">
        <f t="shared" si="14"/>
        <v>KPNNummerblok 1000 volgende</v>
      </c>
      <c r="C124" s="12" t="s">
        <v>546</v>
      </c>
      <c r="D124" s="12" t="s">
        <v>9</v>
      </c>
      <c r="E124" s="12"/>
      <c r="G124" s="825">
        <v>100</v>
      </c>
      <c r="H124" s="825">
        <v>1000</v>
      </c>
    </row>
    <row r="125" spans="2:8">
      <c r="B125" s="4" t="str">
        <f t="shared" si="14"/>
        <v>KPNNummerblok 10000 volgende</v>
      </c>
      <c r="C125" s="12" t="s">
        <v>683</v>
      </c>
      <c r="D125" s="12" t="s">
        <v>9</v>
      </c>
      <c r="E125" s="12"/>
      <c r="G125" s="825">
        <v>100</v>
      </c>
      <c r="H125" s="825">
        <v>1000</v>
      </c>
    </row>
    <row r="126" spans="2:8">
      <c r="B126" s="4" t="str">
        <f t="shared" si="14"/>
        <v>KPNNummerweergave</v>
      </c>
      <c r="C126" s="12" t="s">
        <v>547</v>
      </c>
      <c r="D126" s="12" t="s">
        <v>9</v>
      </c>
      <c r="E126" s="12"/>
      <c r="G126" s="825">
        <v>100</v>
      </c>
      <c r="H126" s="825">
        <v>1000</v>
      </c>
    </row>
    <row r="127" spans="2:8">
      <c r="B127" s="4" t="str">
        <f t="shared" si="14"/>
        <v>KPNWisselgesprek</v>
      </c>
      <c r="C127" s="12" t="s">
        <v>552</v>
      </c>
      <c r="D127" s="12" t="s">
        <v>9</v>
      </c>
      <c r="E127" s="12"/>
      <c r="G127" s="825">
        <v>100</v>
      </c>
      <c r="H127" s="825">
        <v>1000</v>
      </c>
    </row>
    <row r="128" spans="2:8">
      <c r="B128" s="4" t="str">
        <f t="shared" si="14"/>
        <v>KPNDe Zakelijke Doorschakeldienst Aansluiting</v>
      </c>
      <c r="C128" s="12" t="s">
        <v>684</v>
      </c>
      <c r="D128" s="12" t="s">
        <v>9</v>
      </c>
      <c r="E128" s="12"/>
      <c r="G128" s="825">
        <v>100</v>
      </c>
      <c r="H128" s="825">
        <v>1000</v>
      </c>
    </row>
    <row r="129" spans="2:12">
      <c r="B129" s="4" t="str">
        <f t="shared" si="14"/>
        <v>KPNDZD mutaties enkele nummers</v>
      </c>
      <c r="C129" s="12" t="s">
        <v>685</v>
      </c>
      <c r="D129" s="12" t="s">
        <v>9</v>
      </c>
      <c r="E129" s="12"/>
      <c r="G129" s="825">
        <v>100</v>
      </c>
      <c r="H129" s="825">
        <v>1000</v>
      </c>
    </row>
    <row r="130" spans="2:12">
      <c r="B130" s="4" t="str">
        <f t="shared" si="14"/>
        <v>KPNDZD mutaties nummerblokken</v>
      </c>
      <c r="C130" s="12" t="s">
        <v>686</v>
      </c>
      <c r="D130" s="12" t="s">
        <v>9</v>
      </c>
      <c r="E130" s="12"/>
      <c r="G130" s="825">
        <v>100</v>
      </c>
      <c r="H130" s="825">
        <v>1000</v>
      </c>
      <c r="L130" s="243"/>
    </row>
    <row r="131" spans="2:12">
      <c r="B131" s="4" t="str">
        <f t="shared" si="14"/>
        <v>TZAankiesbare onderlijn</v>
      </c>
      <c r="C131" s="12" t="s">
        <v>532</v>
      </c>
      <c r="D131" s="12" t="s">
        <v>12</v>
      </c>
      <c r="G131" s="825">
        <v>100</v>
      </c>
      <c r="H131" s="825">
        <v>1000</v>
      </c>
      <c r="I131" s="254"/>
      <c r="J131" s="254"/>
      <c r="K131" s="243"/>
      <c r="L131" s="243"/>
    </row>
    <row r="132" spans="2:12">
      <c r="B132" s="4" t="str">
        <f t="shared" si="14"/>
        <v>TZCalamiteitenService &lt;= 30 kanalen</v>
      </c>
      <c r="C132" s="12" t="s">
        <v>533</v>
      </c>
      <c r="D132" s="12" t="s">
        <v>12</v>
      </c>
      <c r="G132" s="825">
        <v>100</v>
      </c>
      <c r="H132" s="825">
        <v>1000</v>
      </c>
      <c r="I132" s="254"/>
      <c r="J132" s="254"/>
      <c r="K132" s="243"/>
      <c r="L132" s="243"/>
    </row>
    <row r="133" spans="2:12">
      <c r="B133" s="4" t="str">
        <f t="shared" si="14"/>
        <v>TZCalamiteitenvoorziening &lt;= 60 kanalen</v>
      </c>
      <c r="C133" s="12" t="s">
        <v>534</v>
      </c>
      <c r="D133" s="12" t="s">
        <v>12</v>
      </c>
      <c r="G133" s="825">
        <v>100</v>
      </c>
      <c r="H133" s="825">
        <v>1000</v>
      </c>
      <c r="I133" s="254"/>
      <c r="J133" s="254"/>
      <c r="K133" s="243"/>
      <c r="L133" s="243"/>
    </row>
    <row r="134" spans="2:12">
      <c r="B134" s="4" t="str">
        <f t="shared" si="14"/>
        <v>TZDoorkiezen</v>
      </c>
      <c r="C134" s="12" t="s">
        <v>535</v>
      </c>
      <c r="D134" s="12" t="s">
        <v>12</v>
      </c>
      <c r="G134" s="825">
        <v>100</v>
      </c>
      <c r="H134" s="825">
        <v>1000</v>
      </c>
      <c r="I134" s="254"/>
      <c r="J134" s="254"/>
      <c r="K134" s="243"/>
      <c r="L134" s="243"/>
    </row>
    <row r="135" spans="2:12">
      <c r="B135" s="4" t="str">
        <f t="shared" si="14"/>
        <v>TZDoorschakeldienst t/m 6 kanalen</v>
      </c>
      <c r="C135" s="12" t="s">
        <v>536</v>
      </c>
      <c r="D135" s="12" t="s">
        <v>12</v>
      </c>
      <c r="G135" s="825">
        <v>100</v>
      </c>
      <c r="H135" s="825">
        <v>1000</v>
      </c>
      <c r="I135" s="254"/>
      <c r="J135" s="254"/>
      <c r="K135" s="243"/>
      <c r="L135" s="243"/>
    </row>
    <row r="136" spans="2:12">
      <c r="B136" s="4" t="str">
        <f t="shared" si="14"/>
        <v>TZDoorschakeldienst MV &gt; 6 kanalen</v>
      </c>
      <c r="C136" s="12" t="s">
        <v>537</v>
      </c>
      <c r="D136" s="12" t="s">
        <v>12</v>
      </c>
      <c r="G136" s="825">
        <v>100</v>
      </c>
      <c r="H136" s="825">
        <v>1000</v>
      </c>
      <c r="I136" s="254"/>
      <c r="J136" s="254"/>
      <c r="K136" s="243"/>
      <c r="L136" s="243"/>
    </row>
    <row r="137" spans="2:12">
      <c r="B137" s="4" t="str">
        <f t="shared" si="14"/>
        <v>TZExtra nummer</v>
      </c>
      <c r="C137" s="12" t="s">
        <v>538</v>
      </c>
      <c r="D137" s="12" t="s">
        <v>12</v>
      </c>
      <c r="G137" s="825">
        <v>100</v>
      </c>
      <c r="H137" s="825">
        <v>1000</v>
      </c>
      <c r="I137" s="254"/>
      <c r="J137" s="254"/>
      <c r="K137" s="243"/>
      <c r="L137" s="243"/>
    </row>
    <row r="138" spans="2:12">
      <c r="B138" s="4" t="str">
        <f t="shared" si="14"/>
        <v>TZGroepsnummer PSTN</v>
      </c>
      <c r="C138" s="12" t="s">
        <v>1219</v>
      </c>
      <c r="D138" s="12" t="s">
        <v>12</v>
      </c>
      <c r="G138" s="825">
        <v>100</v>
      </c>
      <c r="H138" s="825">
        <v>1000</v>
      </c>
      <c r="I138" s="254"/>
      <c r="J138" s="254"/>
      <c r="K138" s="243"/>
      <c r="L138" s="243"/>
    </row>
    <row r="139" spans="2:12">
      <c r="B139" s="4" t="str">
        <f t="shared" si="14"/>
        <v>TZGroepsnummer ISDN2</v>
      </c>
      <c r="C139" s="12" t="s">
        <v>1220</v>
      </c>
      <c r="D139" s="12" t="s">
        <v>12</v>
      </c>
      <c r="G139" s="825">
        <v>100</v>
      </c>
      <c r="H139" s="825">
        <v>1000</v>
      </c>
      <c r="I139" s="254"/>
      <c r="J139" s="254"/>
      <c r="K139" s="243"/>
      <c r="L139" s="243"/>
    </row>
    <row r="140" spans="2:12">
      <c r="B140" s="4" t="str">
        <f t="shared" si="14"/>
        <v>TZKostenindicatie</v>
      </c>
      <c r="C140" s="12" t="s">
        <v>539</v>
      </c>
      <c r="D140" s="12" t="s">
        <v>12</v>
      </c>
      <c r="G140" s="825">
        <v>100</v>
      </c>
      <c r="H140" s="825">
        <v>1000</v>
      </c>
      <c r="I140" s="254"/>
      <c r="J140" s="254"/>
      <c r="K140" s="243"/>
      <c r="L140" s="243"/>
    </row>
    <row r="141" spans="2:12">
      <c r="B141" s="4" t="str">
        <f t="shared" si="14"/>
        <v>TZMSN nummer</v>
      </c>
      <c r="C141" s="12" t="s">
        <v>540</v>
      </c>
      <c r="D141" s="12" t="s">
        <v>12</v>
      </c>
      <c r="G141" s="825">
        <v>100</v>
      </c>
      <c r="H141" s="825">
        <v>1000</v>
      </c>
      <c r="I141" s="254"/>
      <c r="J141" s="254"/>
      <c r="K141" s="243"/>
      <c r="L141" s="243"/>
    </row>
    <row r="142" spans="2:12">
      <c r="B142" s="4" t="str">
        <f t="shared" si="14"/>
        <v>TZNummerblok 10 eerste</v>
      </c>
      <c r="C142" s="12" t="s">
        <v>541</v>
      </c>
      <c r="D142" s="12" t="s">
        <v>12</v>
      </c>
      <c r="G142" s="825">
        <v>100</v>
      </c>
      <c r="H142" s="825">
        <v>1000</v>
      </c>
      <c r="I142" s="254"/>
      <c r="J142" s="254"/>
      <c r="K142" s="243"/>
      <c r="L142" s="243"/>
    </row>
    <row r="143" spans="2:12">
      <c r="B143" s="4" t="str">
        <f t="shared" si="14"/>
        <v>TZNummerblok 10 volgende</v>
      </c>
      <c r="C143" s="12" t="s">
        <v>542</v>
      </c>
      <c r="D143" s="12" t="s">
        <v>12</v>
      </c>
      <c r="G143" s="825">
        <v>100</v>
      </c>
      <c r="H143" s="825">
        <v>1000</v>
      </c>
      <c r="I143" s="254"/>
      <c r="J143" s="254"/>
      <c r="K143" s="243"/>
      <c r="L143" s="243"/>
    </row>
    <row r="144" spans="2:12">
      <c r="B144" s="4" t="str">
        <f t="shared" si="14"/>
        <v>TZNummerblok 100 eerste</v>
      </c>
      <c r="C144" s="12" t="s">
        <v>543</v>
      </c>
      <c r="D144" s="12" t="s">
        <v>12</v>
      </c>
      <c r="G144" s="825">
        <v>100</v>
      </c>
      <c r="H144" s="825">
        <v>1000</v>
      </c>
      <c r="I144" s="254"/>
      <c r="J144" s="254"/>
      <c r="K144" s="243"/>
      <c r="L144" s="243"/>
    </row>
    <row r="145" spans="2:12">
      <c r="B145" s="4" t="str">
        <f t="shared" si="14"/>
        <v>TZNummerblok 100 volgende</v>
      </c>
      <c r="C145" s="12" t="s">
        <v>544</v>
      </c>
      <c r="D145" s="12" t="s">
        <v>12</v>
      </c>
      <c r="G145" s="825">
        <v>100</v>
      </c>
      <c r="H145" s="825">
        <v>1000</v>
      </c>
      <c r="I145" s="254"/>
      <c r="J145" s="254"/>
      <c r="K145" s="243"/>
      <c r="L145" s="243"/>
    </row>
    <row r="146" spans="2:12">
      <c r="B146" s="4" t="str">
        <f t="shared" si="14"/>
        <v>TZNummerblok 1000 eerste</v>
      </c>
      <c r="C146" s="12" t="s">
        <v>545</v>
      </c>
      <c r="D146" s="12" t="s">
        <v>12</v>
      </c>
      <c r="G146" s="825">
        <v>100</v>
      </c>
      <c r="H146" s="825">
        <v>1000</v>
      </c>
      <c r="I146" s="254"/>
      <c r="J146" s="254"/>
      <c r="K146" s="243"/>
      <c r="L146" s="243"/>
    </row>
    <row r="147" spans="2:12">
      <c r="B147" s="4" t="str">
        <f t="shared" si="14"/>
        <v>TZNummerblok 1000 volgende</v>
      </c>
      <c r="C147" s="12" t="s">
        <v>546</v>
      </c>
      <c r="D147" s="12" t="s">
        <v>12</v>
      </c>
      <c r="G147" s="825">
        <v>100</v>
      </c>
      <c r="H147" s="825">
        <v>1000</v>
      </c>
      <c r="I147" s="254"/>
      <c r="J147" s="254"/>
      <c r="K147" s="243"/>
      <c r="L147" s="243"/>
    </row>
    <row r="148" spans="2:12">
      <c r="B148" s="4" t="str">
        <f t="shared" si="14"/>
        <v>TZNummerblok 10000 eerste</v>
      </c>
      <c r="C148" s="12" t="s">
        <v>682</v>
      </c>
      <c r="D148" s="12" t="s">
        <v>12</v>
      </c>
      <c r="G148" s="825">
        <v>100</v>
      </c>
      <c r="H148" s="825">
        <v>1000</v>
      </c>
      <c r="I148" s="254"/>
      <c r="J148" s="254"/>
      <c r="K148" s="243"/>
      <c r="L148" s="243"/>
    </row>
    <row r="149" spans="2:12">
      <c r="B149" s="4" t="str">
        <f t="shared" si="14"/>
        <v>TZNummerblok 10000 volgende</v>
      </c>
      <c r="C149" s="12" t="s">
        <v>683</v>
      </c>
      <c r="D149" s="12" t="s">
        <v>12</v>
      </c>
      <c r="G149" s="825">
        <v>100</v>
      </c>
      <c r="H149" s="825">
        <v>1000</v>
      </c>
      <c r="I149" s="254"/>
      <c r="J149" s="254"/>
      <c r="K149" s="243"/>
      <c r="L149" s="243"/>
    </row>
    <row r="150" spans="2:12">
      <c r="B150" s="4" t="str">
        <f t="shared" si="14"/>
        <v>TZNummerweergave</v>
      </c>
      <c r="C150" s="12" t="s">
        <v>547</v>
      </c>
      <c r="D150" s="12" t="s">
        <v>12</v>
      </c>
      <c r="G150" s="825">
        <v>100</v>
      </c>
      <c r="H150" s="825">
        <v>1000</v>
      </c>
      <c r="I150" s="254"/>
      <c r="J150" s="254"/>
      <c r="K150" s="243"/>
      <c r="L150" s="243"/>
    </row>
    <row r="151" spans="2:12">
      <c r="B151" s="4" t="str">
        <f t="shared" si="14"/>
        <v>TZService Contract Premium A</v>
      </c>
      <c r="C151" s="12" t="s">
        <v>548</v>
      </c>
      <c r="D151" s="12" t="s">
        <v>12</v>
      </c>
      <c r="G151" s="825">
        <v>100</v>
      </c>
      <c r="H151" s="825">
        <v>1000</v>
      </c>
      <c r="I151" s="254"/>
      <c r="J151" s="254"/>
      <c r="K151" s="243"/>
      <c r="L151" s="243"/>
    </row>
    <row r="152" spans="2:12">
      <c r="B152" s="4" t="str">
        <f t="shared" si="14"/>
        <v>TZService Contract Premium B</v>
      </c>
      <c r="C152" s="12" t="s">
        <v>549</v>
      </c>
      <c r="D152" s="12" t="s">
        <v>12</v>
      </c>
      <c r="G152" s="825">
        <v>100</v>
      </c>
      <c r="H152" s="825">
        <v>1000</v>
      </c>
      <c r="I152" s="254"/>
      <c r="J152" s="254"/>
      <c r="K152" s="243"/>
      <c r="L152" s="243"/>
    </row>
    <row r="153" spans="2:12">
      <c r="B153" s="4" t="str">
        <f t="shared" si="14"/>
        <v>TZSubadressering</v>
      </c>
      <c r="C153" s="12" t="s">
        <v>550</v>
      </c>
      <c r="D153" s="12" t="s">
        <v>12</v>
      </c>
      <c r="G153" s="825">
        <v>100</v>
      </c>
      <c r="H153" s="825">
        <v>1000</v>
      </c>
      <c r="I153" s="254"/>
      <c r="J153" s="254"/>
      <c r="K153" s="243"/>
      <c r="L153" s="243"/>
    </row>
    <row r="154" spans="2:12">
      <c r="B154" s="4" t="str">
        <f t="shared" si="14"/>
        <v>TZVerwijsdienst</v>
      </c>
      <c r="C154" s="12" t="s">
        <v>339</v>
      </c>
      <c r="D154" s="12" t="s">
        <v>12</v>
      </c>
      <c r="G154" s="825">
        <v>100</v>
      </c>
      <c r="H154" s="825">
        <v>1000</v>
      </c>
      <c r="I154" s="254"/>
      <c r="J154" s="254"/>
      <c r="K154" s="243"/>
      <c r="L154" s="243"/>
    </row>
    <row r="155" spans="2:12">
      <c r="B155" s="4" t="str">
        <f t="shared" si="14"/>
        <v>TZVerwijsdienst t/m 6 kanalen</v>
      </c>
      <c r="C155" s="12" t="s">
        <v>551</v>
      </c>
      <c r="D155" s="12" t="s">
        <v>12</v>
      </c>
      <c r="G155" s="825">
        <v>100</v>
      </c>
      <c r="H155" s="825">
        <v>1000</v>
      </c>
      <c r="I155" s="254"/>
      <c r="J155" s="254"/>
      <c r="K155" s="243"/>
      <c r="L155" s="243"/>
    </row>
    <row r="156" spans="2:12">
      <c r="B156" s="4" t="str">
        <f t="shared" si="14"/>
        <v>TZWisselgesprek</v>
      </c>
      <c r="C156" s="12" t="s">
        <v>552</v>
      </c>
      <c r="D156" s="12" t="s">
        <v>12</v>
      </c>
      <c r="G156" s="825">
        <v>100</v>
      </c>
      <c r="H156" s="825">
        <v>1000</v>
      </c>
      <c r="I156" s="254"/>
      <c r="J156" s="254"/>
      <c r="K156" s="243"/>
      <c r="L156" s="243"/>
    </row>
    <row r="157" spans="2:12">
      <c r="B157" s="4" t="str">
        <f t="shared" si="14"/>
        <v>KPNBC IS 100 (1 tm 4 kanalen)</v>
      </c>
      <c r="C157" s="12" t="s">
        <v>696</v>
      </c>
      <c r="D157" s="12" t="s">
        <v>9</v>
      </c>
      <c r="G157" s="825">
        <v>100</v>
      </c>
      <c r="H157" s="825">
        <v>1000</v>
      </c>
    </row>
    <row r="158" spans="2:12">
      <c r="B158" s="4" t="str">
        <f t="shared" si="14"/>
        <v>KPNBC IS 100 (5 tm 10 kanalen)</v>
      </c>
      <c r="C158" s="12" t="s">
        <v>697</v>
      </c>
      <c r="D158" s="12" t="s">
        <v>9</v>
      </c>
      <c r="G158" s="825">
        <v>100</v>
      </c>
      <c r="H158" s="825">
        <v>1000</v>
      </c>
    </row>
    <row r="159" spans="2:12">
      <c r="B159" s="4" t="str">
        <f t="shared" si="14"/>
        <v>KPNBC IS 300</v>
      </c>
      <c r="C159" s="12" t="s">
        <v>698</v>
      </c>
      <c r="D159" s="12" t="s">
        <v>9</v>
      </c>
      <c r="G159" s="825">
        <v>100</v>
      </c>
      <c r="H159" s="825">
        <v>1000</v>
      </c>
    </row>
    <row r="160" spans="2:12">
      <c r="B160" s="4" t="str">
        <f t="shared" si="14"/>
        <v>KPNBC IS 600 per Contract</v>
      </c>
      <c r="C160" s="12" t="s">
        <v>699</v>
      </c>
      <c r="D160" s="12" t="s">
        <v>9</v>
      </c>
      <c r="G160" s="825">
        <v>100</v>
      </c>
      <c r="H160" s="825">
        <v>1000</v>
      </c>
    </row>
    <row r="161" spans="2:8">
      <c r="B161" s="4" t="str">
        <f t="shared" si="14"/>
        <v>KPNBC IS 600 per Vestiging</v>
      </c>
      <c r="C161" s="12" t="s">
        <v>700</v>
      </c>
      <c r="D161" s="12" t="s">
        <v>9</v>
      </c>
      <c r="G161" s="825">
        <v>100</v>
      </c>
      <c r="H161" s="825">
        <v>1000</v>
      </c>
    </row>
    <row r="162" spans="2:8">
      <c r="B162" s="4" t="str">
        <f t="shared" si="14"/>
        <v>KPNBC IS 900 per Contract</v>
      </c>
      <c r="C162" s="12" t="s">
        <v>701</v>
      </c>
      <c r="D162" s="12" t="s">
        <v>9</v>
      </c>
      <c r="G162" s="825">
        <v>100</v>
      </c>
      <c r="H162" s="825">
        <v>1000</v>
      </c>
    </row>
    <row r="163" spans="2:8">
      <c r="B163" s="4" t="str">
        <f t="shared" si="14"/>
        <v>KPNBC IS 900 per Vestiging</v>
      </c>
      <c r="C163" s="12" t="s">
        <v>702</v>
      </c>
      <c r="D163" s="12" t="s">
        <v>9</v>
      </c>
      <c r="G163" s="825">
        <v>100</v>
      </c>
      <c r="H163" s="825">
        <v>1000</v>
      </c>
    </row>
    <row r="164" spans="2:8">
      <c r="B164" s="4" t="str">
        <f t="shared" si="14"/>
        <v>KPNBC IS 900XL per Contract</v>
      </c>
      <c r="C164" s="12" t="s">
        <v>703</v>
      </c>
      <c r="D164" s="12" t="s">
        <v>9</v>
      </c>
      <c r="G164" s="825">
        <v>100</v>
      </c>
      <c r="H164" s="825">
        <v>1000</v>
      </c>
    </row>
    <row r="165" spans="2:8">
      <c r="B165" s="4" t="str">
        <f t="shared" si="14"/>
        <v>KPNBC IS 900XL per Vestiging</v>
      </c>
      <c r="C165" s="12" t="s">
        <v>704</v>
      </c>
      <c r="D165" s="12" t="s">
        <v>9</v>
      </c>
      <c r="G165" s="825">
        <v>100</v>
      </c>
      <c r="H165" s="825">
        <v>1000</v>
      </c>
    </row>
    <row r="166" spans="2:8">
      <c r="B166" s="4" t="str">
        <f t="shared" si="14"/>
        <v>KPNExtra ISDN nr (MSN) 1 tm 3</v>
      </c>
      <c r="C166" s="12" t="s">
        <v>705</v>
      </c>
      <c r="D166" s="12" t="s">
        <v>9</v>
      </c>
      <c r="G166" s="825">
        <v>100</v>
      </c>
      <c r="H166" s="825">
        <v>1000</v>
      </c>
    </row>
    <row r="167" spans="2:8">
      <c r="B167" s="4" t="str">
        <f t="shared" si="14"/>
        <v>KPNExtra ISDN nr (MSN) 4 tm 7</v>
      </c>
      <c r="C167" s="12" t="s">
        <v>706</v>
      </c>
      <c r="D167" s="12" t="s">
        <v>9</v>
      </c>
      <c r="G167" s="825">
        <v>100</v>
      </c>
      <c r="H167" s="825">
        <v>1000</v>
      </c>
    </row>
    <row r="168" spans="2:8">
      <c r="B168" s="4" t="str">
        <f t="shared" si="14"/>
        <v>KPNExtra groeps-/ev nr (MROP) 1</v>
      </c>
      <c r="C168" s="12" t="s">
        <v>707</v>
      </c>
      <c r="D168" s="12" t="s">
        <v>9</v>
      </c>
      <c r="G168" s="825">
        <v>100</v>
      </c>
      <c r="H168" s="825">
        <v>1000</v>
      </c>
    </row>
    <row r="169" spans="2:8">
      <c r="B169" s="4" t="str">
        <f t="shared" si="14"/>
        <v>KPNExtra groeps-/ev nr (MROP) 2 tm 15</v>
      </c>
      <c r="C169" s="12" t="s">
        <v>708</v>
      </c>
      <c r="D169" s="12" t="s">
        <v>9</v>
      </c>
      <c r="G169" s="825">
        <v>100</v>
      </c>
      <c r="H169" s="825">
        <v>1000</v>
      </c>
    </row>
    <row r="170" spans="2:8">
      <c r="B170" s="4" t="str">
        <f t="shared" si="14"/>
        <v>KPNExtra groeps-/ev nr (MROP) 16 en meer</v>
      </c>
      <c r="C170" s="12" t="s">
        <v>709</v>
      </c>
      <c r="D170" s="12" t="s">
        <v>9</v>
      </c>
      <c r="G170" s="825">
        <v>100</v>
      </c>
      <c r="H170" s="825">
        <v>1000</v>
      </c>
    </row>
    <row r="171" spans="2:8">
      <c r="B171" s="4" t="str">
        <f t="shared" si="14"/>
        <v>TZExtra ISDN nr (MSN) 1 tm 3</v>
      </c>
      <c r="C171" s="12" t="s">
        <v>705</v>
      </c>
      <c r="D171" s="12" t="s">
        <v>12</v>
      </c>
      <c r="G171" s="825">
        <v>100</v>
      </c>
      <c r="H171" s="825">
        <v>1000</v>
      </c>
    </row>
    <row r="172" spans="2:8">
      <c r="B172" s="4" t="str">
        <f t="shared" si="14"/>
        <v>TZExtra ISDN nr (MSN) 4 tm 7</v>
      </c>
      <c r="C172" s="12" t="s">
        <v>706</v>
      </c>
      <c r="D172" s="12" t="s">
        <v>12</v>
      </c>
      <c r="G172" s="825">
        <v>100</v>
      </c>
      <c r="H172" s="825">
        <v>1000</v>
      </c>
    </row>
    <row r="173" spans="2:8">
      <c r="B173" s="4" t="str">
        <f t="shared" si="14"/>
        <v>TZExtra groeps-/ev nr (MROP) 1</v>
      </c>
      <c r="C173" s="12" t="s">
        <v>707</v>
      </c>
      <c r="D173" s="12" t="s">
        <v>12</v>
      </c>
      <c r="G173" s="825">
        <v>100</v>
      </c>
      <c r="H173" s="825">
        <v>1000</v>
      </c>
    </row>
    <row r="174" spans="2:8">
      <c r="B174" s="4" t="str">
        <f t="shared" si="14"/>
        <v>TZExtra groeps-/ev nr (MROP) 2 tm 15</v>
      </c>
      <c r="C174" s="12" t="s">
        <v>708</v>
      </c>
      <c r="D174" s="12" t="s">
        <v>12</v>
      </c>
      <c r="G174" s="825">
        <v>100</v>
      </c>
      <c r="H174" s="825">
        <v>1000</v>
      </c>
    </row>
    <row r="175" spans="2:8">
      <c r="B175" s="4" t="str">
        <f t="shared" si="14"/>
        <v>TZExtra groeps-/ev nr (MROP) 16 en meer</v>
      </c>
      <c r="C175" s="12" t="s">
        <v>709</v>
      </c>
      <c r="D175" s="12" t="s">
        <v>12</v>
      </c>
      <c r="G175" s="825">
        <v>100</v>
      </c>
      <c r="H175" s="825">
        <v>1000</v>
      </c>
    </row>
    <row r="176" spans="2:8">
      <c r="C176" s="12"/>
      <c r="D176" s="12"/>
      <c r="G176" s="111"/>
      <c r="H176" s="111"/>
    </row>
    <row r="177" spans="3:9">
      <c r="C177" s="12"/>
      <c r="D177" s="12"/>
      <c r="G177" s="111"/>
      <c r="H177" s="111"/>
    </row>
    <row r="178" spans="3:9">
      <c r="C178" s="12"/>
      <c r="D178" s="12"/>
      <c r="G178" s="111"/>
      <c r="H178" s="111"/>
    </row>
    <row r="179" spans="3:9">
      <c r="C179" s="12"/>
      <c r="D179" s="12"/>
      <c r="G179" s="111"/>
      <c r="H179" s="111"/>
    </row>
    <row r="180" spans="3:9">
      <c r="C180" s="12"/>
      <c r="D180" s="12"/>
      <c r="G180" s="111"/>
      <c r="H180" s="111"/>
    </row>
    <row r="181" spans="3:9">
      <c r="C181" s="12"/>
      <c r="D181" s="12"/>
      <c r="G181" s="111"/>
      <c r="H181" s="111"/>
    </row>
    <row r="182" spans="3:9">
      <c r="C182" s="12"/>
      <c r="D182" s="12"/>
      <c r="G182" s="111"/>
      <c r="H182" s="111"/>
    </row>
    <row r="183" spans="3:9">
      <c r="C183" s="12"/>
      <c r="D183" s="12"/>
      <c r="G183" s="111"/>
      <c r="H183" s="111"/>
    </row>
    <row r="185" spans="3:9">
      <c r="F185" s="152"/>
      <c r="G185" s="152"/>
      <c r="H185" s="152"/>
      <c r="I185" s="179"/>
    </row>
    <row r="186" spans="3:9">
      <c r="F186" s="152"/>
      <c r="G186" s="152"/>
      <c r="H186" s="152"/>
      <c r="I186" s="179"/>
    </row>
    <row r="187" spans="3:9">
      <c r="F187" s="152"/>
      <c r="G187" s="152"/>
      <c r="H187" s="152"/>
      <c r="I187" s="179"/>
    </row>
    <row r="188" spans="3:9">
      <c r="F188" s="152"/>
      <c r="G188" s="152"/>
      <c r="H188" s="152"/>
      <c r="I188" s="179"/>
    </row>
    <row r="189" spans="3:9">
      <c r="F189" s="152"/>
      <c r="G189" s="152"/>
      <c r="H189" s="152"/>
      <c r="I189" s="179"/>
    </row>
    <row r="190" spans="3:9">
      <c r="F190" s="152"/>
      <c r="G190" s="152"/>
      <c r="H190" s="152"/>
      <c r="I190" s="179"/>
    </row>
    <row r="191" spans="3:9">
      <c r="F191" s="152"/>
      <c r="G191" s="152"/>
      <c r="H191" s="152"/>
      <c r="I191" s="179"/>
    </row>
    <row r="192" spans="3:9">
      <c r="F192" s="152"/>
      <c r="G192" s="152"/>
      <c r="H192" s="152"/>
      <c r="I192" s="179"/>
    </row>
    <row r="193" spans="6:9">
      <c r="F193" s="152"/>
      <c r="G193" s="152"/>
      <c r="H193" s="152"/>
      <c r="I193" s="179"/>
    </row>
    <row r="194" spans="6:9">
      <c r="F194" s="152"/>
      <c r="G194" s="152"/>
      <c r="H194" s="152"/>
      <c r="I194" s="179"/>
    </row>
    <row r="195" spans="6:9">
      <c r="F195" s="152"/>
      <c r="G195" s="152"/>
      <c r="H195" s="152"/>
      <c r="I195" s="179"/>
    </row>
    <row r="196" spans="6:9">
      <c r="F196" s="152"/>
      <c r="G196" s="152"/>
      <c r="H196" s="152"/>
      <c r="I196" s="179"/>
    </row>
    <row r="197" spans="6:9">
      <c r="F197" s="152"/>
      <c r="G197" s="152"/>
      <c r="H197" s="152"/>
      <c r="I197" s="179"/>
    </row>
    <row r="198" spans="6:9">
      <c r="F198" s="152"/>
      <c r="G198" s="152"/>
      <c r="H198" s="152"/>
      <c r="I198" s="179"/>
    </row>
    <row r="199" spans="6:9">
      <c r="F199" s="152"/>
      <c r="G199" s="152"/>
      <c r="H199" s="152"/>
      <c r="I199" s="179"/>
    </row>
    <row r="200" spans="6:9">
      <c r="F200" s="179"/>
      <c r="G200" s="179"/>
      <c r="H200" s="179"/>
      <c r="I200" s="179"/>
    </row>
    <row r="201" spans="6:9">
      <c r="F201" s="179"/>
      <c r="G201" s="179"/>
      <c r="H201" s="179"/>
      <c r="I201" s="179"/>
    </row>
    <row r="202" spans="6:9">
      <c r="F202" s="179"/>
      <c r="G202" s="179"/>
      <c r="H202" s="179"/>
      <c r="I202" s="179"/>
    </row>
    <row r="203" spans="6:9">
      <c r="F203" s="179"/>
      <c r="G203" s="179"/>
      <c r="H203" s="179"/>
      <c r="I203" s="179"/>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N138"/>
  <sheetViews>
    <sheetView zoomScale="85" zoomScaleNormal="85" workbookViewId="0">
      <selection activeCell="D35" sqref="D35"/>
    </sheetView>
  </sheetViews>
  <sheetFormatPr defaultColWidth="9.109375" defaultRowHeight="14.4"/>
  <cols>
    <col min="1" max="1" width="36.44140625" style="450" customWidth="1"/>
    <col min="2" max="2" width="9.109375" style="450"/>
    <col min="3" max="3" width="2.6640625" style="450" customWidth="1"/>
    <col min="4" max="12" width="9.109375" style="450"/>
    <col min="13" max="13" width="13.44140625" style="450" customWidth="1"/>
    <col min="14" max="14" width="13.109375" style="450" customWidth="1"/>
    <col min="15" max="16384" width="9.109375" style="450"/>
  </cols>
  <sheetData>
    <row r="1" spans="1:14">
      <c r="A1" s="779" t="s">
        <v>944</v>
      </c>
      <c r="B1" s="779"/>
      <c r="C1" s="660"/>
      <c r="D1" s="779"/>
      <c r="E1" s="779"/>
      <c r="F1" s="460"/>
      <c r="G1" s="460"/>
      <c r="H1" s="460"/>
      <c r="I1" s="780"/>
      <c r="J1" s="780"/>
      <c r="K1" s="779"/>
      <c r="L1" s="779"/>
      <c r="M1" s="692"/>
      <c r="N1" s="692"/>
    </row>
    <row r="2" spans="1:14" ht="40.799999999999997">
      <c r="A2" s="663" t="s">
        <v>1186</v>
      </c>
      <c r="B2" s="664" t="s">
        <v>945</v>
      </c>
      <c r="C2" s="664"/>
      <c r="D2" s="664" t="s">
        <v>946</v>
      </c>
      <c r="E2" s="665" t="s">
        <v>947</v>
      </c>
      <c r="F2" s="663" t="s">
        <v>948</v>
      </c>
      <c r="G2" s="663" t="s">
        <v>949</v>
      </c>
      <c r="H2" s="663" t="s">
        <v>950</v>
      </c>
      <c r="I2" s="666" t="s">
        <v>1239</v>
      </c>
      <c r="J2" s="666" t="s">
        <v>1240</v>
      </c>
      <c r="K2" s="665" t="s">
        <v>953</v>
      </c>
      <c r="L2" s="667" t="s">
        <v>954</v>
      </c>
      <c r="M2" s="663" t="s">
        <v>1187</v>
      </c>
      <c r="N2" s="663" t="s">
        <v>214</v>
      </c>
    </row>
    <row r="3" spans="1:14">
      <c r="A3" s="668" t="s">
        <v>1241</v>
      </c>
      <c r="B3" s="668"/>
      <c r="C3" s="668"/>
      <c r="D3" s="828">
        <v>0.1</v>
      </c>
      <c r="E3" s="828">
        <v>0.1</v>
      </c>
      <c r="F3" s="828">
        <v>0.1</v>
      </c>
      <c r="G3" s="828">
        <v>0.1</v>
      </c>
      <c r="H3" s="828">
        <v>0.1</v>
      </c>
      <c r="I3" s="829">
        <v>0.01</v>
      </c>
      <c r="J3" s="830">
        <v>0.01</v>
      </c>
      <c r="K3" s="828">
        <v>0.1</v>
      </c>
      <c r="L3" s="831">
        <v>0.1</v>
      </c>
      <c r="M3" s="672" t="s">
        <v>55</v>
      </c>
      <c r="N3" s="672" t="s">
        <v>388</v>
      </c>
    </row>
    <row r="4" spans="1:14">
      <c r="A4" s="668" t="s">
        <v>955</v>
      </c>
      <c r="B4" s="668"/>
      <c r="C4" s="668"/>
      <c r="D4" s="828">
        <v>0.1</v>
      </c>
      <c r="E4" s="828">
        <v>0.1</v>
      </c>
      <c r="F4" s="828">
        <v>0.1</v>
      </c>
      <c r="G4" s="828">
        <v>0.1</v>
      </c>
      <c r="H4" s="828">
        <v>0.1</v>
      </c>
      <c r="I4" s="830">
        <v>0.01</v>
      </c>
      <c r="J4" s="830">
        <v>0.01</v>
      </c>
      <c r="K4" s="828">
        <v>0.1</v>
      </c>
      <c r="L4" s="831">
        <v>0.1</v>
      </c>
      <c r="M4" s="672" t="s">
        <v>55</v>
      </c>
      <c r="N4" s="672" t="s">
        <v>388</v>
      </c>
    </row>
    <row r="5" spans="1:14">
      <c r="A5" s="668" t="s">
        <v>956</v>
      </c>
      <c r="B5" s="668"/>
      <c r="C5" s="668"/>
      <c r="D5" s="828">
        <v>0.1</v>
      </c>
      <c r="E5" s="828">
        <v>0.1</v>
      </c>
      <c r="F5" s="828">
        <v>0.1</v>
      </c>
      <c r="G5" s="828">
        <v>0.1</v>
      </c>
      <c r="H5" s="828">
        <v>0.1</v>
      </c>
      <c r="I5" s="830">
        <v>0.01</v>
      </c>
      <c r="J5" s="830">
        <v>0.01</v>
      </c>
      <c r="K5" s="828">
        <v>0.1</v>
      </c>
      <c r="L5" s="831">
        <v>0.1</v>
      </c>
      <c r="M5" s="672" t="s">
        <v>55</v>
      </c>
      <c r="N5" s="672" t="s">
        <v>388</v>
      </c>
    </row>
    <row r="6" spans="1:14">
      <c r="A6" s="668" t="s">
        <v>957</v>
      </c>
      <c r="B6" s="668"/>
      <c r="C6" s="668"/>
      <c r="D6" s="828">
        <v>0.1</v>
      </c>
      <c r="E6" s="828">
        <v>0.1</v>
      </c>
      <c r="F6" s="828">
        <v>0.1</v>
      </c>
      <c r="G6" s="828">
        <v>0.1</v>
      </c>
      <c r="H6" s="828">
        <v>0.1</v>
      </c>
      <c r="I6" s="830">
        <v>0.01</v>
      </c>
      <c r="J6" s="830">
        <v>0.01</v>
      </c>
      <c r="K6" s="828">
        <v>0.1</v>
      </c>
      <c r="L6" s="831">
        <v>0.1</v>
      </c>
      <c r="M6" s="672" t="s">
        <v>55</v>
      </c>
      <c r="N6" s="672" t="s">
        <v>388</v>
      </c>
    </row>
    <row r="7" spans="1:14">
      <c r="A7" s="668" t="s">
        <v>1140</v>
      </c>
      <c r="B7" s="668"/>
      <c r="C7" s="668"/>
      <c r="D7" s="668"/>
      <c r="E7" s="668"/>
      <c r="F7" s="668"/>
      <c r="G7" s="668"/>
      <c r="H7" s="668"/>
      <c r="I7" s="673"/>
      <c r="J7" s="673"/>
      <c r="K7" s="828">
        <v>0.1</v>
      </c>
      <c r="L7" s="831">
        <v>0.1</v>
      </c>
      <c r="M7" s="672" t="s">
        <v>55</v>
      </c>
      <c r="N7" s="672" t="s">
        <v>388</v>
      </c>
    </row>
    <row r="8" spans="1:14">
      <c r="A8" s="668" t="s">
        <v>958</v>
      </c>
      <c r="B8" s="668"/>
      <c r="C8" s="668"/>
      <c r="D8" s="828">
        <v>0.1</v>
      </c>
      <c r="E8" s="828">
        <v>0.1</v>
      </c>
      <c r="F8" s="828">
        <v>0.1</v>
      </c>
      <c r="G8" s="828">
        <v>0.1</v>
      </c>
      <c r="H8" s="828">
        <v>0.1</v>
      </c>
      <c r="I8" s="830">
        <v>0.01</v>
      </c>
      <c r="J8" s="830">
        <v>0.01</v>
      </c>
      <c r="K8" s="828">
        <v>0.1</v>
      </c>
      <c r="L8" s="831">
        <v>0.1</v>
      </c>
      <c r="M8" s="672" t="s">
        <v>55</v>
      </c>
      <c r="N8" s="672" t="s">
        <v>388</v>
      </c>
    </row>
    <row r="9" spans="1:14">
      <c r="A9" s="668" t="s">
        <v>1242</v>
      </c>
      <c r="B9" s="668"/>
      <c r="C9" s="668"/>
      <c r="D9" s="828">
        <v>0.1</v>
      </c>
      <c r="E9" s="828">
        <v>0.1</v>
      </c>
      <c r="F9" s="828">
        <v>0.1</v>
      </c>
      <c r="G9" s="828">
        <v>0.1</v>
      </c>
      <c r="H9" s="828">
        <v>0.1</v>
      </c>
      <c r="I9" s="830">
        <v>0.01</v>
      </c>
      <c r="J9" s="830">
        <v>0.01</v>
      </c>
      <c r="K9" s="828">
        <v>0.1</v>
      </c>
      <c r="L9" s="831">
        <v>0.1</v>
      </c>
      <c r="M9" s="672" t="s">
        <v>55</v>
      </c>
      <c r="N9" s="672" t="s">
        <v>388</v>
      </c>
    </row>
    <row r="10" spans="1:14">
      <c r="A10" s="668" t="s">
        <v>959</v>
      </c>
      <c r="B10" s="668"/>
      <c r="C10" s="668"/>
      <c r="D10" s="828">
        <v>0.1</v>
      </c>
      <c r="E10" s="828">
        <v>0.1</v>
      </c>
      <c r="F10" s="828">
        <v>0.1</v>
      </c>
      <c r="G10" s="828">
        <v>0.1</v>
      </c>
      <c r="H10" s="828">
        <v>0.1</v>
      </c>
      <c r="I10" s="830">
        <v>0.01</v>
      </c>
      <c r="J10" s="830">
        <v>0.01</v>
      </c>
      <c r="K10" s="828">
        <v>0.1</v>
      </c>
      <c r="L10" s="831">
        <v>0.1</v>
      </c>
      <c r="M10" s="672" t="s">
        <v>55</v>
      </c>
      <c r="N10" s="672" t="s">
        <v>388</v>
      </c>
    </row>
    <row r="11" spans="1:14">
      <c r="A11" s="668"/>
      <c r="B11" s="668"/>
      <c r="C11" s="668"/>
      <c r="D11" s="669"/>
      <c r="E11" s="669"/>
      <c r="F11" s="669"/>
      <c r="G11" s="669"/>
      <c r="H11" s="669"/>
      <c r="I11" s="670"/>
      <c r="J11" s="670"/>
      <c r="K11" s="669"/>
      <c r="L11" s="671"/>
      <c r="M11" s="672"/>
      <c r="N11" s="672"/>
    </row>
    <row r="12" spans="1:14">
      <c r="A12" s="668" t="s">
        <v>960</v>
      </c>
      <c r="B12" s="668"/>
      <c r="C12" s="668"/>
      <c r="D12" s="668">
        <v>0</v>
      </c>
      <c r="E12" s="828">
        <v>1</v>
      </c>
      <c r="F12" s="828">
        <v>0.1</v>
      </c>
      <c r="G12" s="828">
        <v>0.1</v>
      </c>
      <c r="H12" s="828">
        <v>0.1</v>
      </c>
      <c r="I12" s="829">
        <v>0.01</v>
      </c>
      <c r="J12" s="830">
        <v>0.01</v>
      </c>
      <c r="K12" s="828">
        <v>1</v>
      </c>
      <c r="L12" s="831">
        <v>1</v>
      </c>
      <c r="M12" s="672" t="s">
        <v>55</v>
      </c>
      <c r="N12" s="672" t="s">
        <v>388</v>
      </c>
    </row>
    <row r="13" spans="1:14">
      <c r="A13" s="668" t="s">
        <v>961</v>
      </c>
      <c r="B13" s="668"/>
      <c r="C13" s="668"/>
      <c r="D13" s="668">
        <v>0</v>
      </c>
      <c r="E13" s="828">
        <v>1</v>
      </c>
      <c r="F13" s="668"/>
      <c r="G13" s="668"/>
      <c r="H13" s="668"/>
      <c r="I13" s="829">
        <v>0.01</v>
      </c>
      <c r="J13" s="830">
        <v>0.01</v>
      </c>
      <c r="K13" s="828">
        <v>1</v>
      </c>
      <c r="L13" s="828">
        <v>1</v>
      </c>
      <c r="M13" s="672" t="s">
        <v>55</v>
      </c>
      <c r="N13" s="672" t="s">
        <v>388</v>
      </c>
    </row>
    <row r="14" spans="1:14">
      <c r="A14" s="668" t="s">
        <v>962</v>
      </c>
      <c r="B14" s="668"/>
      <c r="C14" s="668"/>
      <c r="D14" s="668">
        <v>0</v>
      </c>
      <c r="E14" s="828">
        <v>1</v>
      </c>
      <c r="F14" s="668"/>
      <c r="G14" s="668"/>
      <c r="H14" s="668"/>
      <c r="I14" s="829">
        <v>0.01</v>
      </c>
      <c r="J14" s="830">
        <v>0.01</v>
      </c>
      <c r="K14" s="828">
        <v>1</v>
      </c>
      <c r="L14" s="828">
        <v>1</v>
      </c>
      <c r="M14" s="672" t="s">
        <v>55</v>
      </c>
      <c r="N14" s="672" t="s">
        <v>388</v>
      </c>
    </row>
    <row r="15" spans="1:14">
      <c r="A15" s="668" t="s">
        <v>963</v>
      </c>
      <c r="B15" s="668"/>
      <c r="C15" s="668"/>
      <c r="D15" s="668">
        <v>0</v>
      </c>
      <c r="E15" s="828">
        <v>1</v>
      </c>
      <c r="F15" s="668"/>
      <c r="G15" s="668"/>
      <c r="H15" s="668"/>
      <c r="I15" s="829">
        <v>0.01</v>
      </c>
      <c r="J15" s="830">
        <v>0.01</v>
      </c>
      <c r="K15" s="828">
        <v>1</v>
      </c>
      <c r="L15" s="828">
        <v>1</v>
      </c>
      <c r="M15" s="672" t="s">
        <v>55</v>
      </c>
      <c r="N15" s="672" t="s">
        <v>388</v>
      </c>
    </row>
    <row r="16" spans="1:14">
      <c r="A16" s="668" t="s">
        <v>964</v>
      </c>
      <c r="B16" s="668"/>
      <c r="C16" s="668"/>
      <c r="D16" s="668">
        <v>0</v>
      </c>
      <c r="E16" s="828">
        <v>1</v>
      </c>
      <c r="F16" s="668"/>
      <c r="G16" s="668"/>
      <c r="H16" s="668"/>
      <c r="I16" s="829">
        <v>0.01</v>
      </c>
      <c r="J16" s="830">
        <v>0.01</v>
      </c>
      <c r="K16" s="828">
        <v>1</v>
      </c>
      <c r="L16" s="828">
        <v>1</v>
      </c>
      <c r="M16" s="672" t="s">
        <v>55</v>
      </c>
      <c r="N16" s="672" t="s">
        <v>388</v>
      </c>
    </row>
    <row r="17" spans="1:14">
      <c r="A17" s="668" t="s">
        <v>965</v>
      </c>
      <c r="B17" s="668"/>
      <c r="C17" s="668"/>
      <c r="D17" s="668">
        <v>0</v>
      </c>
      <c r="E17" s="828">
        <v>1</v>
      </c>
      <c r="F17" s="668"/>
      <c r="G17" s="668"/>
      <c r="H17" s="668"/>
      <c r="I17" s="829">
        <v>0.01</v>
      </c>
      <c r="J17" s="830">
        <v>0.01</v>
      </c>
      <c r="K17" s="828">
        <v>1</v>
      </c>
      <c r="L17" s="828">
        <v>1</v>
      </c>
      <c r="M17" s="672" t="s">
        <v>55</v>
      </c>
      <c r="N17" s="672" t="s">
        <v>388</v>
      </c>
    </row>
    <row r="18" spans="1:14">
      <c r="A18" s="668" t="s">
        <v>966</v>
      </c>
      <c r="B18" s="668"/>
      <c r="C18" s="668"/>
      <c r="D18" s="668">
        <v>0</v>
      </c>
      <c r="E18" s="828">
        <v>1</v>
      </c>
      <c r="F18" s="668"/>
      <c r="G18" s="668"/>
      <c r="H18" s="668"/>
      <c r="I18" s="829">
        <v>0.01</v>
      </c>
      <c r="J18" s="830">
        <v>0.01</v>
      </c>
      <c r="K18" s="828">
        <v>1</v>
      </c>
      <c r="L18" s="828">
        <v>1</v>
      </c>
      <c r="M18" s="672" t="s">
        <v>55</v>
      </c>
      <c r="N18" s="672" t="s">
        <v>388</v>
      </c>
    </row>
    <row r="19" spans="1:14">
      <c r="A19" s="674"/>
      <c r="B19" s="674"/>
      <c r="C19" s="674"/>
      <c r="D19" s="674"/>
      <c r="E19" s="674"/>
      <c r="F19" s="674"/>
      <c r="G19" s="674"/>
      <c r="H19" s="674"/>
      <c r="I19" s="675"/>
      <c r="J19" s="675"/>
      <c r="K19" s="674"/>
      <c r="L19" s="676"/>
      <c r="M19" s="672"/>
      <c r="N19" s="672"/>
    </row>
    <row r="20" spans="1:14" ht="40.799999999999997">
      <c r="A20" s="677"/>
      <c r="B20" s="678" t="s">
        <v>945</v>
      </c>
      <c r="C20" s="678">
        <v>0</v>
      </c>
      <c r="D20" s="678" t="s">
        <v>946</v>
      </c>
      <c r="E20" s="678" t="s">
        <v>947</v>
      </c>
      <c r="F20" s="678" t="s">
        <v>948</v>
      </c>
      <c r="G20" s="678" t="s">
        <v>949</v>
      </c>
      <c r="H20" s="678" t="s">
        <v>950</v>
      </c>
      <c r="I20" s="678" t="s">
        <v>1239</v>
      </c>
      <c r="J20" s="678" t="s">
        <v>1240</v>
      </c>
      <c r="K20" s="678" t="s">
        <v>953</v>
      </c>
      <c r="L20" s="678" t="s">
        <v>954</v>
      </c>
      <c r="M20" s="663"/>
      <c r="N20" s="663"/>
    </row>
    <row r="21" spans="1:14">
      <c r="A21" s="668" t="s">
        <v>1188</v>
      </c>
      <c r="B21" s="668"/>
      <c r="C21" s="668"/>
      <c r="D21" s="669">
        <v>0</v>
      </c>
      <c r="E21" s="828">
        <v>1</v>
      </c>
      <c r="F21" s="828">
        <v>1</v>
      </c>
      <c r="G21" s="828">
        <v>1</v>
      </c>
      <c r="H21" s="828">
        <v>1</v>
      </c>
      <c r="I21" s="830">
        <v>1</v>
      </c>
      <c r="J21" s="830">
        <v>1</v>
      </c>
      <c r="K21" s="828">
        <v>1</v>
      </c>
      <c r="L21" s="831">
        <v>1</v>
      </c>
      <c r="M21" s="672" t="s">
        <v>55</v>
      </c>
      <c r="N21" s="672" t="s">
        <v>388</v>
      </c>
    </row>
    <row r="22" spans="1:14">
      <c r="A22" s="668" t="s">
        <v>1189</v>
      </c>
      <c r="B22" s="668"/>
      <c r="C22" s="668"/>
      <c r="D22" s="669">
        <v>0</v>
      </c>
      <c r="E22" s="828">
        <v>1</v>
      </c>
      <c r="F22" s="828">
        <v>1</v>
      </c>
      <c r="G22" s="828">
        <v>1</v>
      </c>
      <c r="H22" s="828">
        <v>1</v>
      </c>
      <c r="I22" s="830">
        <v>1</v>
      </c>
      <c r="J22" s="830">
        <v>1</v>
      </c>
      <c r="K22" s="828">
        <v>1</v>
      </c>
      <c r="L22" s="831">
        <v>1</v>
      </c>
      <c r="M22" s="672" t="s">
        <v>55</v>
      </c>
      <c r="N22" s="672" t="s">
        <v>388</v>
      </c>
    </row>
    <row r="23" spans="1:14">
      <c r="A23" s="668" t="s">
        <v>1190</v>
      </c>
      <c r="B23" s="668"/>
      <c r="C23" s="668"/>
      <c r="D23" s="669">
        <v>0</v>
      </c>
      <c r="E23" s="828">
        <v>1</v>
      </c>
      <c r="F23" s="828">
        <v>1</v>
      </c>
      <c r="G23" s="828">
        <v>1</v>
      </c>
      <c r="H23" s="828">
        <v>1</v>
      </c>
      <c r="I23" s="830">
        <v>1</v>
      </c>
      <c r="J23" s="830">
        <v>1</v>
      </c>
      <c r="K23" s="828">
        <v>1</v>
      </c>
      <c r="L23" s="831">
        <v>1</v>
      </c>
      <c r="M23" s="672" t="s">
        <v>55</v>
      </c>
      <c r="N23" s="672" t="s">
        <v>388</v>
      </c>
    </row>
    <row r="24" spans="1:14">
      <c r="A24" s="668" t="s">
        <v>1191</v>
      </c>
      <c r="B24" s="668"/>
      <c r="C24" s="668"/>
      <c r="D24" s="669">
        <v>0</v>
      </c>
      <c r="E24" s="828">
        <v>1</v>
      </c>
      <c r="F24" s="828">
        <v>1</v>
      </c>
      <c r="G24" s="828">
        <v>1</v>
      </c>
      <c r="H24" s="828">
        <v>1</v>
      </c>
      <c r="I24" s="830">
        <v>1</v>
      </c>
      <c r="J24" s="830">
        <v>1</v>
      </c>
      <c r="K24" s="828">
        <v>1</v>
      </c>
      <c r="L24" s="831">
        <v>1</v>
      </c>
      <c r="M24" s="672" t="s">
        <v>55</v>
      </c>
      <c r="N24" s="672" t="s">
        <v>388</v>
      </c>
    </row>
    <row r="25" spans="1:14" ht="40.799999999999997">
      <c r="A25" s="668">
        <v>0</v>
      </c>
      <c r="B25" s="664" t="s">
        <v>945</v>
      </c>
      <c r="C25" s="664"/>
      <c r="D25" s="663" t="s">
        <v>946</v>
      </c>
      <c r="E25" s="663" t="s">
        <v>1155</v>
      </c>
      <c r="F25" s="663" t="s">
        <v>1156</v>
      </c>
      <c r="G25" s="663" t="s">
        <v>1157</v>
      </c>
      <c r="H25" s="663" t="s">
        <v>1158</v>
      </c>
      <c r="I25" s="663" t="s">
        <v>1243</v>
      </c>
      <c r="J25" s="663" t="s">
        <v>1244</v>
      </c>
      <c r="K25" s="663"/>
      <c r="L25" s="663" t="s">
        <v>1161</v>
      </c>
      <c r="M25" s="672"/>
      <c r="N25" s="672"/>
    </row>
    <row r="26" spans="1:14">
      <c r="A26" s="668" t="s">
        <v>1143</v>
      </c>
      <c r="B26" s="832">
        <v>0.01</v>
      </c>
      <c r="C26" s="669"/>
      <c r="D26" s="668"/>
      <c r="E26" s="685"/>
      <c r="F26" s="668"/>
      <c r="G26" s="668"/>
      <c r="H26" s="668"/>
      <c r="I26" s="673"/>
      <c r="J26" s="673"/>
      <c r="K26" s="685"/>
      <c r="L26" s="685"/>
      <c r="M26" s="672" t="s">
        <v>55</v>
      </c>
      <c r="N26" s="672" t="s">
        <v>14</v>
      </c>
    </row>
    <row r="27" spans="1:14">
      <c r="A27" s="668" t="s">
        <v>1144</v>
      </c>
      <c r="B27" s="832">
        <v>0.01</v>
      </c>
      <c r="C27" s="669"/>
      <c r="D27" s="668"/>
      <c r="E27" s="685"/>
      <c r="F27" s="668"/>
      <c r="G27" s="668"/>
      <c r="H27" s="668"/>
      <c r="I27" s="673"/>
      <c r="J27" s="673"/>
      <c r="K27" s="685"/>
      <c r="L27" s="781"/>
      <c r="M27" s="672" t="s">
        <v>55</v>
      </c>
      <c r="N27" s="672" t="s">
        <v>14</v>
      </c>
    </row>
    <row r="28" spans="1:14">
      <c r="A28" s="668" t="s">
        <v>967</v>
      </c>
      <c r="B28" s="832">
        <v>0.01</v>
      </c>
      <c r="C28" s="669"/>
      <c r="D28" s="668"/>
      <c r="E28" s="685"/>
      <c r="F28" s="668"/>
      <c r="G28" s="668"/>
      <c r="H28" s="668"/>
      <c r="I28" s="673"/>
      <c r="J28" s="673"/>
      <c r="K28" s="685"/>
      <c r="L28" s="781"/>
      <c r="M28" s="672" t="s">
        <v>55</v>
      </c>
      <c r="N28" s="672" t="s">
        <v>14</v>
      </c>
    </row>
    <row r="29" spans="1:14">
      <c r="A29" s="668" t="s">
        <v>1145</v>
      </c>
      <c r="B29" s="832">
        <v>0.01</v>
      </c>
      <c r="C29" s="669"/>
      <c r="D29" s="668"/>
      <c r="E29" s="685"/>
      <c r="F29" s="668"/>
      <c r="G29" s="668"/>
      <c r="H29" s="668"/>
      <c r="I29" s="673"/>
      <c r="J29" s="673"/>
      <c r="K29" s="685"/>
      <c r="L29" s="781"/>
      <c r="M29" s="672" t="s">
        <v>55</v>
      </c>
      <c r="N29" s="672" t="s">
        <v>14</v>
      </c>
    </row>
    <row r="30" spans="1:14">
      <c r="A30" s="668" t="s">
        <v>1146</v>
      </c>
      <c r="B30" s="832">
        <v>0.01</v>
      </c>
      <c r="C30" s="669"/>
      <c r="D30" s="668"/>
      <c r="E30" s="685"/>
      <c r="F30" s="668"/>
      <c r="G30" s="668"/>
      <c r="H30" s="668"/>
      <c r="I30" s="673"/>
      <c r="J30" s="673"/>
      <c r="K30" s="685"/>
      <c r="L30" s="781"/>
      <c r="M30" s="672" t="s">
        <v>55</v>
      </c>
      <c r="N30" s="672" t="s">
        <v>14</v>
      </c>
    </row>
    <row r="31" spans="1:14">
      <c r="A31" s="668"/>
      <c r="B31" s="679"/>
      <c r="C31" s="668"/>
      <c r="D31" s="668"/>
      <c r="E31" s="682"/>
      <c r="F31" s="668"/>
      <c r="G31" s="668"/>
      <c r="H31" s="668"/>
      <c r="I31" s="683"/>
      <c r="J31" s="683"/>
      <c r="K31" s="682"/>
      <c r="L31" s="684"/>
      <c r="M31" s="685"/>
      <c r="N31" s="685"/>
    </row>
    <row r="32" spans="1:14">
      <c r="A32" s="668" t="s">
        <v>1141</v>
      </c>
      <c r="B32" s="679"/>
      <c r="C32" s="669"/>
      <c r="D32" s="668">
        <v>0</v>
      </c>
      <c r="E32" s="668">
        <v>0</v>
      </c>
      <c r="F32" s="669">
        <v>0</v>
      </c>
      <c r="G32" s="669">
        <v>0</v>
      </c>
      <c r="H32" s="669">
        <v>0</v>
      </c>
      <c r="I32" s="673">
        <v>0</v>
      </c>
      <c r="J32" s="673">
        <v>0</v>
      </c>
      <c r="K32" s="691">
        <v>0</v>
      </c>
      <c r="L32" s="831">
        <v>1</v>
      </c>
      <c r="M32" s="672" t="s">
        <v>55</v>
      </c>
      <c r="N32" s="672" t="s">
        <v>1162</v>
      </c>
    </row>
    <row r="33" spans="1:14">
      <c r="A33" s="668" t="s">
        <v>1142</v>
      </c>
      <c r="B33" s="679"/>
      <c r="C33" s="669"/>
      <c r="D33" s="669">
        <v>0</v>
      </c>
      <c r="E33" s="669">
        <v>0</v>
      </c>
      <c r="F33" s="669">
        <v>0</v>
      </c>
      <c r="G33" s="669">
        <v>0</v>
      </c>
      <c r="H33" s="669">
        <v>0</v>
      </c>
      <c r="I33" s="673">
        <v>0</v>
      </c>
      <c r="J33" s="673">
        <v>0</v>
      </c>
      <c r="K33" s="671">
        <v>0</v>
      </c>
      <c r="L33" s="831">
        <v>1</v>
      </c>
      <c r="M33" s="672" t="s">
        <v>55</v>
      </c>
      <c r="N33" s="672" t="s">
        <v>1162</v>
      </c>
    </row>
    <row r="34" spans="1:14">
      <c r="A34" s="668" t="s">
        <v>968</v>
      </c>
      <c r="B34" s="679">
        <v>0</v>
      </c>
      <c r="C34" s="669"/>
      <c r="D34" s="828">
        <v>0.1</v>
      </c>
      <c r="E34" s="828">
        <v>0.1</v>
      </c>
      <c r="F34" s="828">
        <v>0.1</v>
      </c>
      <c r="G34" s="828">
        <v>0.1</v>
      </c>
      <c r="H34" s="828">
        <v>0.1</v>
      </c>
      <c r="I34" s="830">
        <v>0.01</v>
      </c>
      <c r="J34" s="830">
        <v>0.01</v>
      </c>
      <c r="K34" s="668">
        <v>0</v>
      </c>
      <c r="L34" s="691">
        <v>0</v>
      </c>
      <c r="M34" s="672" t="s">
        <v>55</v>
      </c>
      <c r="N34" s="672" t="s">
        <v>388</v>
      </c>
    </row>
    <row r="35" spans="1:14">
      <c r="A35" s="668" t="s">
        <v>969</v>
      </c>
      <c r="B35" s="679">
        <v>0</v>
      </c>
      <c r="C35" s="669"/>
      <c r="D35" s="828">
        <v>0.1</v>
      </c>
      <c r="E35" s="828">
        <v>0.1</v>
      </c>
      <c r="F35" s="828">
        <v>0.1</v>
      </c>
      <c r="G35" s="828">
        <v>0.1</v>
      </c>
      <c r="H35" s="828">
        <v>0.1</v>
      </c>
      <c r="I35" s="830">
        <v>0.01</v>
      </c>
      <c r="J35" s="830">
        <v>0.01</v>
      </c>
      <c r="K35" s="668">
        <v>0</v>
      </c>
      <c r="L35" s="691">
        <v>0</v>
      </c>
      <c r="M35" s="672" t="s">
        <v>55</v>
      </c>
      <c r="N35" s="672" t="s">
        <v>388</v>
      </c>
    </row>
    <row r="36" spans="1:14">
      <c r="A36" s="668" t="s">
        <v>970</v>
      </c>
      <c r="B36" s="679">
        <v>0</v>
      </c>
      <c r="C36" s="669"/>
      <c r="D36" s="828">
        <v>0.1</v>
      </c>
      <c r="E36" s="828">
        <v>0.1</v>
      </c>
      <c r="F36" s="828">
        <v>0.1</v>
      </c>
      <c r="G36" s="828">
        <v>0.1</v>
      </c>
      <c r="H36" s="828">
        <v>0.1</v>
      </c>
      <c r="I36" s="830">
        <v>0.01</v>
      </c>
      <c r="J36" s="830">
        <v>0.01</v>
      </c>
      <c r="K36" s="668">
        <v>0</v>
      </c>
      <c r="L36" s="691">
        <v>0</v>
      </c>
      <c r="M36" s="672" t="s">
        <v>55</v>
      </c>
      <c r="N36" s="672" t="s">
        <v>388</v>
      </c>
    </row>
    <row r="37" spans="1:14">
      <c r="A37" s="668" t="s">
        <v>971</v>
      </c>
      <c r="B37" s="679">
        <v>0</v>
      </c>
      <c r="C37" s="669"/>
      <c r="D37" s="668">
        <v>0</v>
      </c>
      <c r="E37" s="828">
        <v>1</v>
      </c>
      <c r="F37" s="669">
        <v>0</v>
      </c>
      <c r="G37" s="828">
        <v>1</v>
      </c>
      <c r="H37" s="828">
        <v>1</v>
      </c>
      <c r="I37" s="673">
        <v>0</v>
      </c>
      <c r="J37" s="830">
        <v>1</v>
      </c>
      <c r="K37" s="668">
        <v>0</v>
      </c>
      <c r="L37" s="691">
        <v>0</v>
      </c>
      <c r="M37" s="672" t="s">
        <v>55</v>
      </c>
      <c r="N37" s="672" t="s">
        <v>388</v>
      </c>
    </row>
    <row r="38" spans="1:14">
      <c r="A38" s="668"/>
      <c r="B38" s="686"/>
      <c r="C38" s="668"/>
      <c r="D38" s="668"/>
      <c r="E38" s="687"/>
      <c r="F38" s="668"/>
      <c r="G38" s="668"/>
      <c r="H38" s="668"/>
      <c r="I38" s="673"/>
      <c r="J38" s="673"/>
      <c r="K38" s="685"/>
      <c r="L38" s="688"/>
      <c r="M38" s="672"/>
      <c r="N38" s="672"/>
    </row>
    <row r="39" spans="1:14">
      <c r="A39" s="668" t="s">
        <v>1192</v>
      </c>
      <c r="B39" s="832">
        <v>0.01</v>
      </c>
      <c r="C39" s="669"/>
      <c r="D39" s="669">
        <v>0</v>
      </c>
      <c r="E39" s="669">
        <v>0</v>
      </c>
      <c r="F39" s="669">
        <v>0</v>
      </c>
      <c r="G39" s="669">
        <v>0</v>
      </c>
      <c r="H39" s="669">
        <v>0</v>
      </c>
      <c r="I39" s="670">
        <v>0</v>
      </c>
      <c r="J39" s="670">
        <v>0</v>
      </c>
      <c r="K39" s="669">
        <v>0</v>
      </c>
      <c r="L39" s="671">
        <v>0</v>
      </c>
      <c r="M39" s="672" t="s">
        <v>55</v>
      </c>
      <c r="N39" s="672" t="s">
        <v>14</v>
      </c>
    </row>
    <row r="40" spans="1:14">
      <c r="A40" s="668" t="s">
        <v>1193</v>
      </c>
      <c r="B40" s="832">
        <v>0.01</v>
      </c>
      <c r="C40" s="669"/>
      <c r="D40" s="669">
        <v>0</v>
      </c>
      <c r="E40" s="669">
        <v>0</v>
      </c>
      <c r="F40" s="669">
        <v>0</v>
      </c>
      <c r="G40" s="669">
        <v>0</v>
      </c>
      <c r="H40" s="669">
        <v>0</v>
      </c>
      <c r="I40" s="670">
        <v>0</v>
      </c>
      <c r="J40" s="670">
        <v>0</v>
      </c>
      <c r="K40" s="669">
        <v>0</v>
      </c>
      <c r="L40" s="671">
        <v>0</v>
      </c>
      <c r="M40" s="672" t="s">
        <v>55</v>
      </c>
      <c r="N40" s="672" t="s">
        <v>14</v>
      </c>
    </row>
    <row r="41" spans="1:14">
      <c r="A41" s="668">
        <v>0</v>
      </c>
      <c r="B41" s="679">
        <v>0</v>
      </c>
      <c r="C41" s="669"/>
      <c r="D41" s="669">
        <v>0</v>
      </c>
      <c r="E41" s="669">
        <v>0</v>
      </c>
      <c r="F41" s="669">
        <v>0</v>
      </c>
      <c r="G41" s="669">
        <v>0</v>
      </c>
      <c r="H41" s="669">
        <v>0</v>
      </c>
      <c r="I41" s="670">
        <v>0</v>
      </c>
      <c r="J41" s="670">
        <v>0</v>
      </c>
      <c r="K41" s="669">
        <v>0</v>
      </c>
      <c r="L41" s="671">
        <v>0</v>
      </c>
      <c r="M41" s="672"/>
      <c r="N41" s="672"/>
    </row>
    <row r="42" spans="1:14">
      <c r="A42" s="668">
        <v>0</v>
      </c>
      <c r="B42" s="679">
        <v>0</v>
      </c>
      <c r="C42" s="669"/>
      <c r="D42" s="669">
        <v>0</v>
      </c>
      <c r="E42" s="669">
        <v>0</v>
      </c>
      <c r="F42" s="669">
        <v>0</v>
      </c>
      <c r="G42" s="669">
        <v>0</v>
      </c>
      <c r="H42" s="669">
        <v>0</v>
      </c>
      <c r="I42" s="670">
        <v>0</v>
      </c>
      <c r="J42" s="670">
        <v>0</v>
      </c>
      <c r="K42" s="669">
        <v>0</v>
      </c>
      <c r="L42" s="671">
        <v>0</v>
      </c>
      <c r="M42" s="672"/>
      <c r="N42" s="672"/>
    </row>
    <row r="43" spans="1:14">
      <c r="A43" s="668">
        <v>0</v>
      </c>
      <c r="B43" s="679">
        <v>0</v>
      </c>
      <c r="C43" s="669"/>
      <c r="D43" s="669">
        <v>0</v>
      </c>
      <c r="E43" s="669">
        <v>0</v>
      </c>
      <c r="F43" s="669">
        <v>0</v>
      </c>
      <c r="G43" s="669">
        <v>0</v>
      </c>
      <c r="H43" s="669">
        <v>0</v>
      </c>
      <c r="I43" s="670">
        <v>0</v>
      </c>
      <c r="J43" s="670">
        <v>0</v>
      </c>
      <c r="K43" s="669">
        <v>0</v>
      </c>
      <c r="L43" s="671">
        <v>0</v>
      </c>
      <c r="M43" s="672"/>
      <c r="N43" s="672"/>
    </row>
    <row r="44" spans="1:14">
      <c r="A44" s="668" t="s">
        <v>972</v>
      </c>
      <c r="B44" s="832">
        <v>0.01</v>
      </c>
      <c r="C44" s="669"/>
      <c r="D44" s="668"/>
      <c r="E44" s="685"/>
      <c r="F44" s="668"/>
      <c r="G44" s="668"/>
      <c r="H44" s="668"/>
      <c r="I44" s="673"/>
      <c r="J44" s="673"/>
      <c r="K44" s="685"/>
      <c r="L44" s="781"/>
      <c r="M44" s="672" t="s">
        <v>55</v>
      </c>
      <c r="N44" s="672" t="s">
        <v>1163</v>
      </c>
    </row>
    <row r="45" spans="1:14">
      <c r="A45" s="668" t="s">
        <v>973</v>
      </c>
      <c r="B45" s="832">
        <v>0.01</v>
      </c>
      <c r="C45" s="669"/>
      <c r="D45" s="668"/>
      <c r="E45" s="685"/>
      <c r="F45" s="668"/>
      <c r="G45" s="668"/>
      <c r="H45" s="668"/>
      <c r="I45" s="673"/>
      <c r="J45" s="673"/>
      <c r="K45" s="685"/>
      <c r="L45" s="781"/>
      <c r="M45" s="672" t="s">
        <v>55</v>
      </c>
      <c r="N45" s="672" t="s">
        <v>1164</v>
      </c>
    </row>
    <row r="46" spans="1:14">
      <c r="A46" s="668" t="s">
        <v>974</v>
      </c>
      <c r="B46" s="832">
        <v>0.01</v>
      </c>
      <c r="C46" s="669"/>
      <c r="D46" s="668"/>
      <c r="E46" s="685"/>
      <c r="F46" s="668"/>
      <c r="G46" s="668"/>
      <c r="H46" s="668"/>
      <c r="I46" s="673"/>
      <c r="J46" s="673"/>
      <c r="K46" s="685"/>
      <c r="L46" s="781"/>
      <c r="M46" s="672" t="s">
        <v>55</v>
      </c>
      <c r="N46" s="672" t="s">
        <v>14</v>
      </c>
    </row>
    <row r="47" spans="1:14">
      <c r="A47" s="668" t="s">
        <v>975</v>
      </c>
      <c r="B47" s="832">
        <v>0.01</v>
      </c>
      <c r="C47" s="669"/>
      <c r="D47" s="668"/>
      <c r="E47" s="685"/>
      <c r="F47" s="668"/>
      <c r="G47" s="668"/>
      <c r="H47" s="668"/>
      <c r="I47" s="673"/>
      <c r="J47" s="673"/>
      <c r="K47" s="685"/>
      <c r="L47" s="781"/>
      <c r="M47" s="672" t="s">
        <v>48</v>
      </c>
      <c r="N47" s="672" t="s">
        <v>1163</v>
      </c>
    </row>
    <row r="48" spans="1:14">
      <c r="A48" s="668" t="s">
        <v>976</v>
      </c>
      <c r="B48" s="832">
        <v>0.01</v>
      </c>
      <c r="C48" s="669"/>
      <c r="D48" s="668"/>
      <c r="E48" s="685"/>
      <c r="F48" s="668"/>
      <c r="G48" s="668"/>
      <c r="H48" s="668"/>
      <c r="I48" s="673"/>
      <c r="J48" s="673"/>
      <c r="K48" s="685"/>
      <c r="L48" s="781"/>
      <c r="M48" s="672" t="s">
        <v>48</v>
      </c>
      <c r="N48" s="672" t="s">
        <v>1164</v>
      </c>
    </row>
    <row r="49" spans="1:14">
      <c r="A49" s="668" t="s">
        <v>977</v>
      </c>
      <c r="B49" s="832">
        <v>0.01</v>
      </c>
      <c r="C49" s="669"/>
      <c r="D49" s="668"/>
      <c r="E49" s="685"/>
      <c r="F49" s="668"/>
      <c r="G49" s="668"/>
      <c r="H49" s="668"/>
      <c r="I49" s="673"/>
      <c r="J49" s="673"/>
      <c r="K49" s="685"/>
      <c r="L49" s="781"/>
      <c r="M49" s="672" t="s">
        <v>48</v>
      </c>
      <c r="N49" s="672" t="s">
        <v>14</v>
      </c>
    </row>
    <row r="50" spans="1:14">
      <c r="A50" s="668" t="s">
        <v>1194</v>
      </c>
      <c r="B50" s="679"/>
      <c r="C50" s="669"/>
      <c r="D50" s="669"/>
      <c r="E50" s="669"/>
      <c r="F50" s="669"/>
      <c r="G50" s="669"/>
      <c r="H50" s="669"/>
      <c r="I50" s="670"/>
      <c r="J50" s="670"/>
      <c r="K50" s="672"/>
      <c r="L50" s="689"/>
      <c r="M50" s="672" t="s">
        <v>48</v>
      </c>
      <c r="N50" s="672" t="s">
        <v>388</v>
      </c>
    </row>
    <row r="51" spans="1:14" ht="40.799999999999997">
      <c r="A51" s="668"/>
      <c r="B51" s="686"/>
      <c r="C51" s="668"/>
      <c r="D51" s="678" t="s">
        <v>946</v>
      </c>
      <c r="E51" s="678" t="s">
        <v>947</v>
      </c>
      <c r="F51" s="678" t="s">
        <v>948</v>
      </c>
      <c r="G51" s="678" t="s">
        <v>949</v>
      </c>
      <c r="H51" s="678" t="s">
        <v>950</v>
      </c>
      <c r="I51" s="678" t="s">
        <v>1239</v>
      </c>
      <c r="J51" s="678" t="s">
        <v>1240</v>
      </c>
      <c r="K51" s="678" t="s">
        <v>953</v>
      </c>
      <c r="L51" s="678" t="s">
        <v>954</v>
      </c>
      <c r="M51" s="672"/>
      <c r="N51" s="672"/>
    </row>
    <row r="52" spans="1:14">
      <c r="A52" s="668" t="s">
        <v>978</v>
      </c>
      <c r="B52" s="679">
        <v>0</v>
      </c>
      <c r="C52" s="669"/>
      <c r="D52" s="669">
        <v>0</v>
      </c>
      <c r="E52" s="669">
        <v>0</v>
      </c>
      <c r="F52" s="669">
        <v>0</v>
      </c>
      <c r="G52" s="669">
        <v>0</v>
      </c>
      <c r="H52" s="669">
        <v>0</v>
      </c>
      <c r="I52" s="670">
        <v>0</v>
      </c>
      <c r="J52" s="670">
        <v>0</v>
      </c>
      <c r="K52" s="669">
        <v>0</v>
      </c>
      <c r="L52" s="831">
        <v>0.1</v>
      </c>
      <c r="M52" s="672" t="s">
        <v>55</v>
      </c>
      <c r="N52" s="672" t="s">
        <v>388</v>
      </c>
    </row>
    <row r="53" spans="1:14">
      <c r="A53" s="668" t="s">
        <v>979</v>
      </c>
      <c r="B53" s="679">
        <v>0</v>
      </c>
      <c r="C53" s="669"/>
      <c r="D53" s="669">
        <v>0</v>
      </c>
      <c r="E53" s="669">
        <v>0</v>
      </c>
      <c r="F53" s="669">
        <v>0</v>
      </c>
      <c r="G53" s="669">
        <v>0</v>
      </c>
      <c r="H53" s="669">
        <v>0</v>
      </c>
      <c r="I53" s="670">
        <v>0</v>
      </c>
      <c r="J53" s="670">
        <v>0</v>
      </c>
      <c r="K53" s="669">
        <v>0</v>
      </c>
      <c r="L53" s="831">
        <v>0.1</v>
      </c>
      <c r="M53" s="672" t="s">
        <v>55</v>
      </c>
      <c r="N53" s="672" t="s">
        <v>388</v>
      </c>
    </row>
    <row r="54" spans="1:14">
      <c r="A54" s="668" t="s">
        <v>980</v>
      </c>
      <c r="B54" s="679">
        <v>0</v>
      </c>
      <c r="C54" s="669"/>
      <c r="D54" s="669">
        <v>0</v>
      </c>
      <c r="E54" s="828">
        <v>0.1</v>
      </c>
      <c r="F54" s="828">
        <v>0.1</v>
      </c>
      <c r="G54" s="828">
        <v>0.1</v>
      </c>
      <c r="H54" s="828">
        <v>0.1</v>
      </c>
      <c r="I54" s="830">
        <v>0.01</v>
      </c>
      <c r="J54" s="830">
        <v>0.01</v>
      </c>
      <c r="K54" s="828">
        <v>0.1</v>
      </c>
      <c r="L54" s="831">
        <v>0.1</v>
      </c>
      <c r="M54" s="672" t="s">
        <v>55</v>
      </c>
      <c r="N54" s="672" t="s">
        <v>388</v>
      </c>
    </row>
    <row r="55" spans="1:14">
      <c r="A55" s="668" t="s">
        <v>981</v>
      </c>
      <c r="B55" s="679">
        <v>0</v>
      </c>
      <c r="C55" s="669"/>
      <c r="D55" s="669">
        <v>0</v>
      </c>
      <c r="E55" s="669">
        <v>0</v>
      </c>
      <c r="F55" s="669">
        <v>0</v>
      </c>
      <c r="G55" s="669">
        <v>0</v>
      </c>
      <c r="H55" s="669">
        <v>0</v>
      </c>
      <c r="I55" s="670">
        <v>0</v>
      </c>
      <c r="J55" s="670">
        <v>0</v>
      </c>
      <c r="K55" s="669">
        <v>0</v>
      </c>
      <c r="L55" s="831">
        <v>0.1</v>
      </c>
      <c r="M55" s="672" t="s">
        <v>55</v>
      </c>
      <c r="N55" s="672" t="s">
        <v>388</v>
      </c>
    </row>
    <row r="56" spans="1:14">
      <c r="A56" s="668" t="s">
        <v>982</v>
      </c>
      <c r="B56" s="679">
        <v>0</v>
      </c>
      <c r="C56" s="669"/>
      <c r="D56" s="669">
        <v>0</v>
      </c>
      <c r="E56" s="669">
        <v>0</v>
      </c>
      <c r="F56" s="669">
        <v>0</v>
      </c>
      <c r="G56" s="669">
        <v>0</v>
      </c>
      <c r="H56" s="669">
        <v>0</v>
      </c>
      <c r="I56" s="670">
        <v>0</v>
      </c>
      <c r="J56" s="670">
        <v>0</v>
      </c>
      <c r="K56" s="669">
        <v>0</v>
      </c>
      <c r="L56" s="831">
        <v>0.1</v>
      </c>
      <c r="M56" s="672" t="s">
        <v>55</v>
      </c>
      <c r="N56" s="672" t="s">
        <v>388</v>
      </c>
    </row>
    <row r="57" spans="1:14">
      <c r="A57" s="668" t="s">
        <v>983</v>
      </c>
      <c r="B57" s="679">
        <v>0</v>
      </c>
      <c r="C57" s="669"/>
      <c r="D57" s="669">
        <v>0</v>
      </c>
      <c r="E57" s="669">
        <v>0</v>
      </c>
      <c r="F57" s="669">
        <v>0</v>
      </c>
      <c r="G57" s="669">
        <v>0</v>
      </c>
      <c r="H57" s="669">
        <v>0</v>
      </c>
      <c r="I57" s="670">
        <v>0</v>
      </c>
      <c r="J57" s="670">
        <v>0</v>
      </c>
      <c r="K57" s="669">
        <v>0</v>
      </c>
      <c r="L57" s="831">
        <v>0.1</v>
      </c>
      <c r="M57" s="672" t="s">
        <v>55</v>
      </c>
      <c r="N57" s="672" t="s">
        <v>388</v>
      </c>
    </row>
    <row r="58" spans="1:14">
      <c r="A58" s="674"/>
      <c r="B58" s="680"/>
      <c r="C58" s="680"/>
      <c r="D58" s="674"/>
      <c r="E58" s="680"/>
      <c r="F58" s="674"/>
      <c r="G58" s="674"/>
      <c r="H58" s="674"/>
      <c r="I58" s="675"/>
      <c r="J58" s="675"/>
      <c r="K58" s="680"/>
      <c r="L58" s="681"/>
      <c r="M58" s="672"/>
      <c r="N58" s="672"/>
    </row>
    <row r="59" spans="1:14" ht="40.799999999999997">
      <c r="A59" s="668"/>
      <c r="B59" s="664" t="s">
        <v>945</v>
      </c>
      <c r="C59" s="664"/>
      <c r="D59" s="663" t="s">
        <v>946</v>
      </c>
      <c r="E59" s="663" t="s">
        <v>1155</v>
      </c>
      <c r="F59" s="663" t="s">
        <v>1156</v>
      </c>
      <c r="G59" s="663" t="s">
        <v>1157</v>
      </c>
      <c r="H59" s="663" t="s">
        <v>1158</v>
      </c>
      <c r="I59" s="663" t="s">
        <v>1243</v>
      </c>
      <c r="J59" s="663" t="s">
        <v>1244</v>
      </c>
      <c r="K59" s="663" t="s">
        <v>1165</v>
      </c>
      <c r="L59" s="663" t="s">
        <v>1166</v>
      </c>
      <c r="M59" s="468"/>
      <c r="N59" s="468"/>
    </row>
    <row r="60" spans="1:14">
      <c r="A60" s="668" t="s">
        <v>984</v>
      </c>
      <c r="B60" s="685"/>
      <c r="C60" s="685"/>
      <c r="D60" s="669">
        <v>0</v>
      </c>
      <c r="E60" s="828">
        <v>1</v>
      </c>
      <c r="F60" s="669">
        <v>0</v>
      </c>
      <c r="G60" s="828">
        <v>1</v>
      </c>
      <c r="H60" s="828">
        <v>1</v>
      </c>
      <c r="I60" s="670">
        <v>0</v>
      </c>
      <c r="J60" s="830">
        <v>1</v>
      </c>
      <c r="K60" s="828">
        <v>1</v>
      </c>
      <c r="L60" s="671">
        <v>0</v>
      </c>
      <c r="M60" s="672" t="s">
        <v>55</v>
      </c>
      <c r="N60" s="672" t="s">
        <v>388</v>
      </c>
    </row>
    <row r="61" spans="1:14">
      <c r="A61" s="668" t="s">
        <v>985</v>
      </c>
      <c r="B61" s="685"/>
      <c r="C61" s="685"/>
      <c r="D61" s="669">
        <v>0</v>
      </c>
      <c r="E61" s="828">
        <v>1</v>
      </c>
      <c r="F61" s="669">
        <v>0</v>
      </c>
      <c r="G61" s="828">
        <v>1</v>
      </c>
      <c r="H61" s="828">
        <v>1</v>
      </c>
      <c r="I61" s="670">
        <v>0</v>
      </c>
      <c r="J61" s="830">
        <v>1</v>
      </c>
      <c r="K61" s="828">
        <v>1</v>
      </c>
      <c r="L61" s="831">
        <v>1</v>
      </c>
      <c r="M61" s="672" t="s">
        <v>55</v>
      </c>
      <c r="N61" s="672" t="s">
        <v>388</v>
      </c>
    </row>
    <row r="62" spans="1:14">
      <c r="A62" s="668" t="s">
        <v>986</v>
      </c>
      <c r="B62" s="685"/>
      <c r="C62" s="685"/>
      <c r="D62" s="669">
        <v>0</v>
      </c>
      <c r="E62" s="828">
        <v>1</v>
      </c>
      <c r="F62" s="669">
        <v>0</v>
      </c>
      <c r="G62" s="828">
        <v>1</v>
      </c>
      <c r="H62" s="828">
        <v>1</v>
      </c>
      <c r="I62" s="670">
        <v>0</v>
      </c>
      <c r="J62" s="830">
        <v>1</v>
      </c>
      <c r="K62" s="828">
        <v>1</v>
      </c>
      <c r="L62" s="671">
        <v>0</v>
      </c>
      <c r="M62" s="672" t="s">
        <v>55</v>
      </c>
      <c r="N62" s="672" t="s">
        <v>388</v>
      </c>
    </row>
    <row r="63" spans="1:14">
      <c r="A63" s="668" t="s">
        <v>987</v>
      </c>
      <c r="B63" s="685"/>
      <c r="C63" s="685"/>
      <c r="D63" s="669">
        <v>0</v>
      </c>
      <c r="E63" s="828">
        <v>1</v>
      </c>
      <c r="F63" s="669">
        <v>0</v>
      </c>
      <c r="G63" s="828">
        <v>1</v>
      </c>
      <c r="H63" s="828">
        <v>1</v>
      </c>
      <c r="I63" s="670">
        <v>0</v>
      </c>
      <c r="J63" s="830">
        <v>1</v>
      </c>
      <c r="K63" s="828">
        <v>1</v>
      </c>
      <c r="L63" s="831">
        <v>1</v>
      </c>
      <c r="M63" s="672" t="s">
        <v>55</v>
      </c>
      <c r="N63" s="672" t="s">
        <v>388</v>
      </c>
    </row>
    <row r="64" spans="1:14">
      <c r="A64" s="668" t="s">
        <v>988</v>
      </c>
      <c r="B64" s="685"/>
      <c r="C64" s="685"/>
      <c r="D64" s="669">
        <v>0</v>
      </c>
      <c r="E64" s="669">
        <v>0</v>
      </c>
      <c r="F64" s="669">
        <v>0</v>
      </c>
      <c r="G64" s="669">
        <v>0</v>
      </c>
      <c r="H64" s="669">
        <v>0</v>
      </c>
      <c r="I64" s="670">
        <v>0</v>
      </c>
      <c r="J64" s="670">
        <v>0</v>
      </c>
      <c r="K64" s="828">
        <v>1</v>
      </c>
      <c r="L64" s="671">
        <v>0</v>
      </c>
      <c r="M64" s="672" t="s">
        <v>55</v>
      </c>
      <c r="N64" s="672" t="s">
        <v>388</v>
      </c>
    </row>
    <row r="65" spans="1:14">
      <c r="A65" s="668" t="s">
        <v>989</v>
      </c>
      <c r="B65" s="685"/>
      <c r="C65" s="685"/>
      <c r="D65" s="669">
        <v>0</v>
      </c>
      <c r="E65" s="669">
        <v>0</v>
      </c>
      <c r="F65" s="669">
        <v>0</v>
      </c>
      <c r="G65" s="669">
        <v>0</v>
      </c>
      <c r="H65" s="669">
        <v>0</v>
      </c>
      <c r="I65" s="670">
        <v>0</v>
      </c>
      <c r="J65" s="670">
        <v>0</v>
      </c>
      <c r="K65" s="828">
        <v>1</v>
      </c>
      <c r="L65" s="671">
        <v>0</v>
      </c>
      <c r="M65" s="672" t="s">
        <v>55</v>
      </c>
      <c r="N65" s="672" t="s">
        <v>388</v>
      </c>
    </row>
    <row r="66" spans="1:14">
      <c r="A66" s="668" t="s">
        <v>990</v>
      </c>
      <c r="B66" s="685"/>
      <c r="C66" s="685"/>
      <c r="D66" s="669">
        <v>0</v>
      </c>
      <c r="E66" s="669">
        <v>0</v>
      </c>
      <c r="F66" s="669">
        <v>0</v>
      </c>
      <c r="G66" s="669">
        <v>0</v>
      </c>
      <c r="H66" s="669">
        <v>0</v>
      </c>
      <c r="I66" s="670">
        <v>0</v>
      </c>
      <c r="J66" s="670">
        <v>0</v>
      </c>
      <c r="K66" s="828">
        <v>1</v>
      </c>
      <c r="L66" s="671">
        <v>0</v>
      </c>
      <c r="M66" s="672" t="s">
        <v>55</v>
      </c>
      <c r="N66" s="672" t="s">
        <v>388</v>
      </c>
    </row>
    <row r="67" spans="1:14">
      <c r="A67" s="668" t="s">
        <v>991</v>
      </c>
      <c r="B67" s="685"/>
      <c r="C67" s="685"/>
      <c r="D67" s="669">
        <v>0</v>
      </c>
      <c r="E67" s="669">
        <v>0</v>
      </c>
      <c r="F67" s="669">
        <v>0</v>
      </c>
      <c r="G67" s="669">
        <v>0</v>
      </c>
      <c r="H67" s="669">
        <v>0</v>
      </c>
      <c r="I67" s="670">
        <v>0</v>
      </c>
      <c r="J67" s="670">
        <v>0</v>
      </c>
      <c r="K67" s="669">
        <v>0</v>
      </c>
      <c r="L67" s="671">
        <v>0</v>
      </c>
      <c r="M67" s="672" t="s">
        <v>55</v>
      </c>
      <c r="N67" s="672" t="s">
        <v>388</v>
      </c>
    </row>
    <row r="68" spans="1:14">
      <c r="A68" s="668" t="s">
        <v>992</v>
      </c>
      <c r="B68" s="685"/>
      <c r="C68" s="685"/>
      <c r="D68" s="672"/>
      <c r="E68" s="828">
        <v>1</v>
      </c>
      <c r="F68" s="669">
        <v>0</v>
      </c>
      <c r="G68" s="669">
        <v>0</v>
      </c>
      <c r="H68" s="669">
        <v>0</v>
      </c>
      <c r="I68" s="670">
        <v>0</v>
      </c>
      <c r="J68" s="670">
        <v>0</v>
      </c>
      <c r="K68" s="669">
        <v>0</v>
      </c>
      <c r="L68" s="671">
        <v>0</v>
      </c>
      <c r="M68" s="672" t="s">
        <v>55</v>
      </c>
      <c r="N68" s="672" t="s">
        <v>388</v>
      </c>
    </row>
    <row r="69" spans="1:14">
      <c r="A69" s="668" t="s">
        <v>993</v>
      </c>
      <c r="B69" s="685"/>
      <c r="C69" s="685"/>
      <c r="D69" s="669">
        <v>0</v>
      </c>
      <c r="E69" s="669">
        <v>0</v>
      </c>
      <c r="F69" s="669">
        <v>0</v>
      </c>
      <c r="G69" s="669">
        <v>0</v>
      </c>
      <c r="H69" s="669">
        <v>0</v>
      </c>
      <c r="I69" s="670">
        <v>0</v>
      </c>
      <c r="J69" s="670">
        <v>0</v>
      </c>
      <c r="K69" s="669">
        <v>0</v>
      </c>
      <c r="L69" s="831">
        <v>1</v>
      </c>
      <c r="M69" s="672" t="s">
        <v>55</v>
      </c>
      <c r="N69" s="672" t="s">
        <v>388</v>
      </c>
    </row>
    <row r="70" spans="1:14">
      <c r="A70" s="668" t="s">
        <v>994</v>
      </c>
      <c r="B70" s="685"/>
      <c r="C70" s="685"/>
      <c r="D70" s="669">
        <v>0</v>
      </c>
      <c r="E70" s="669">
        <v>0</v>
      </c>
      <c r="F70" s="669">
        <v>0</v>
      </c>
      <c r="G70" s="669">
        <v>0</v>
      </c>
      <c r="H70" s="669">
        <v>0</v>
      </c>
      <c r="I70" s="670">
        <v>0</v>
      </c>
      <c r="J70" s="670">
        <v>0</v>
      </c>
      <c r="K70" s="669">
        <v>0</v>
      </c>
      <c r="L70" s="831">
        <v>1</v>
      </c>
      <c r="M70" s="672" t="s">
        <v>55</v>
      </c>
      <c r="N70" s="672" t="s">
        <v>388</v>
      </c>
    </row>
    <row r="71" spans="1:14">
      <c r="A71" s="668" t="s">
        <v>995</v>
      </c>
      <c r="B71" s="685"/>
      <c r="C71" s="685"/>
      <c r="D71" s="669">
        <v>0</v>
      </c>
      <c r="E71" s="669">
        <v>0</v>
      </c>
      <c r="F71" s="669">
        <v>0</v>
      </c>
      <c r="G71" s="669">
        <v>0</v>
      </c>
      <c r="H71" s="669">
        <v>0</v>
      </c>
      <c r="I71" s="670">
        <v>0</v>
      </c>
      <c r="J71" s="670">
        <v>0</v>
      </c>
      <c r="K71" s="669">
        <v>0</v>
      </c>
      <c r="L71" s="831">
        <v>1</v>
      </c>
      <c r="M71" s="672" t="s">
        <v>55</v>
      </c>
      <c r="N71" s="672" t="s">
        <v>388</v>
      </c>
    </row>
    <row r="72" spans="1:14">
      <c r="A72" s="668"/>
      <c r="B72" s="685"/>
      <c r="C72" s="685"/>
      <c r="D72" s="669"/>
      <c r="E72" s="669"/>
      <c r="F72" s="669"/>
      <c r="G72" s="669"/>
      <c r="H72" s="669"/>
      <c r="I72" s="670"/>
      <c r="J72" s="670"/>
      <c r="K72" s="669"/>
      <c r="L72" s="671"/>
      <c r="M72" s="672" t="s">
        <v>55</v>
      </c>
      <c r="N72" s="672" t="s">
        <v>388</v>
      </c>
    </row>
    <row r="73" spans="1:14" ht="30.6">
      <c r="A73" s="668"/>
      <c r="B73" s="664" t="s">
        <v>945</v>
      </c>
      <c r="C73" s="664"/>
      <c r="D73" s="663" t="s">
        <v>946</v>
      </c>
      <c r="E73" s="663" t="s">
        <v>1155</v>
      </c>
      <c r="F73" s="663" t="s">
        <v>1156</v>
      </c>
      <c r="G73" s="663" t="s">
        <v>1157</v>
      </c>
      <c r="H73" s="663" t="s">
        <v>1158</v>
      </c>
      <c r="I73" s="663" t="s">
        <v>1159</v>
      </c>
      <c r="J73" s="663" t="s">
        <v>1160</v>
      </c>
      <c r="K73" s="663" t="s">
        <v>1165</v>
      </c>
      <c r="L73" s="663" t="s">
        <v>1166</v>
      </c>
      <c r="M73" s="672"/>
      <c r="N73" s="672"/>
    </row>
    <row r="74" spans="1:14">
      <c r="A74" s="668" t="s">
        <v>996</v>
      </c>
      <c r="B74" s="685"/>
      <c r="C74" s="685"/>
      <c r="D74" s="669">
        <v>0</v>
      </c>
      <c r="E74" s="828">
        <v>1</v>
      </c>
      <c r="F74" s="828">
        <v>1</v>
      </c>
      <c r="G74" s="828">
        <v>1</v>
      </c>
      <c r="H74" s="828">
        <v>1</v>
      </c>
      <c r="I74" s="830">
        <v>1</v>
      </c>
      <c r="J74" s="830">
        <v>1</v>
      </c>
      <c r="K74" s="669">
        <v>0</v>
      </c>
      <c r="L74" s="671">
        <v>0</v>
      </c>
      <c r="M74" s="672" t="s">
        <v>55</v>
      </c>
      <c r="N74" s="672" t="s">
        <v>388</v>
      </c>
    </row>
    <row r="75" spans="1:14">
      <c r="A75" s="668" t="s">
        <v>997</v>
      </c>
      <c r="B75" s="685"/>
      <c r="C75" s="685"/>
      <c r="D75" s="669">
        <v>0</v>
      </c>
      <c r="E75" s="828">
        <v>1</v>
      </c>
      <c r="F75" s="828">
        <v>1</v>
      </c>
      <c r="G75" s="828">
        <v>1</v>
      </c>
      <c r="H75" s="828">
        <v>1</v>
      </c>
      <c r="I75" s="830">
        <v>1</v>
      </c>
      <c r="J75" s="830">
        <v>1</v>
      </c>
      <c r="K75" s="669">
        <v>0</v>
      </c>
      <c r="L75" s="671">
        <v>0</v>
      </c>
      <c r="M75" s="672" t="s">
        <v>55</v>
      </c>
      <c r="N75" s="672" t="s">
        <v>388</v>
      </c>
    </row>
    <row r="76" spans="1:14">
      <c r="A76" s="668" t="s">
        <v>998</v>
      </c>
      <c r="B76" s="685"/>
      <c r="C76" s="685"/>
      <c r="D76" s="669">
        <v>0</v>
      </c>
      <c r="E76" s="828">
        <v>1</v>
      </c>
      <c r="F76" s="828">
        <v>1</v>
      </c>
      <c r="G76" s="828">
        <v>1</v>
      </c>
      <c r="H76" s="828">
        <v>1</v>
      </c>
      <c r="I76" s="830">
        <v>1</v>
      </c>
      <c r="J76" s="830">
        <v>1</v>
      </c>
      <c r="K76" s="669">
        <v>0</v>
      </c>
      <c r="L76" s="671">
        <v>0</v>
      </c>
      <c r="M76" s="672" t="s">
        <v>55</v>
      </c>
      <c r="N76" s="672" t="s">
        <v>388</v>
      </c>
    </row>
    <row r="77" spans="1:14">
      <c r="A77" s="668" t="s">
        <v>999</v>
      </c>
      <c r="B77" s="685"/>
      <c r="C77" s="685"/>
      <c r="D77" s="669">
        <v>0</v>
      </c>
      <c r="E77" s="828">
        <v>1</v>
      </c>
      <c r="F77" s="828">
        <v>1</v>
      </c>
      <c r="G77" s="828">
        <v>1</v>
      </c>
      <c r="H77" s="828">
        <v>1</v>
      </c>
      <c r="I77" s="830">
        <v>1</v>
      </c>
      <c r="J77" s="830">
        <v>1</v>
      </c>
      <c r="K77" s="669">
        <v>0</v>
      </c>
      <c r="L77" s="671">
        <v>0</v>
      </c>
      <c r="M77" s="672" t="s">
        <v>55</v>
      </c>
      <c r="N77" s="672" t="s">
        <v>388</v>
      </c>
    </row>
    <row r="78" spans="1:14">
      <c r="A78" s="668" t="s">
        <v>1000</v>
      </c>
      <c r="B78" s="685"/>
      <c r="C78" s="685"/>
      <c r="D78" s="669">
        <v>0</v>
      </c>
      <c r="E78" s="828">
        <v>1</v>
      </c>
      <c r="F78" s="828">
        <v>1</v>
      </c>
      <c r="G78" s="828">
        <v>1</v>
      </c>
      <c r="H78" s="828">
        <v>1</v>
      </c>
      <c r="I78" s="830">
        <v>1</v>
      </c>
      <c r="J78" s="830">
        <v>1</v>
      </c>
      <c r="K78" s="669">
        <v>0</v>
      </c>
      <c r="L78" s="671">
        <v>0</v>
      </c>
      <c r="M78" s="672" t="s">
        <v>55</v>
      </c>
      <c r="N78" s="672" t="s">
        <v>388</v>
      </c>
    </row>
    <row r="79" spans="1:14" ht="40.799999999999997">
      <c r="A79" s="668"/>
      <c r="B79" s="664" t="s">
        <v>945</v>
      </c>
      <c r="C79" s="664"/>
      <c r="D79" s="664" t="s">
        <v>946</v>
      </c>
      <c r="E79" s="665" t="s">
        <v>947</v>
      </c>
      <c r="F79" s="663" t="s">
        <v>948</v>
      </c>
      <c r="G79" s="663" t="s">
        <v>949</v>
      </c>
      <c r="H79" s="663" t="s">
        <v>950</v>
      </c>
      <c r="I79" s="666" t="s">
        <v>951</v>
      </c>
      <c r="J79" s="666" t="s">
        <v>952</v>
      </c>
      <c r="K79" s="665" t="s">
        <v>953</v>
      </c>
      <c r="L79" s="667" t="s">
        <v>954</v>
      </c>
      <c r="M79" s="672"/>
      <c r="N79" s="672"/>
    </row>
    <row r="80" spans="1:14">
      <c r="A80" s="668" t="s">
        <v>1001</v>
      </c>
      <c r="B80" s="685"/>
      <c r="C80" s="685"/>
      <c r="D80" s="669">
        <v>0</v>
      </c>
      <c r="E80" s="828">
        <v>1</v>
      </c>
      <c r="F80" s="828">
        <v>1</v>
      </c>
      <c r="G80" s="828">
        <v>1</v>
      </c>
      <c r="H80" s="828">
        <v>1</v>
      </c>
      <c r="I80" s="830">
        <v>1</v>
      </c>
      <c r="J80" s="830">
        <v>1</v>
      </c>
      <c r="K80" s="669">
        <v>0</v>
      </c>
      <c r="L80" s="671">
        <v>0</v>
      </c>
      <c r="M80" s="672" t="s">
        <v>55</v>
      </c>
      <c r="N80" s="672" t="s">
        <v>388</v>
      </c>
    </row>
    <row r="81" spans="1:14">
      <c r="A81" s="668" t="s">
        <v>1002</v>
      </c>
      <c r="B81" s="685"/>
      <c r="C81" s="685"/>
      <c r="D81" s="669">
        <v>0</v>
      </c>
      <c r="E81" s="828">
        <v>1</v>
      </c>
      <c r="F81" s="828">
        <v>1</v>
      </c>
      <c r="G81" s="828">
        <v>1</v>
      </c>
      <c r="H81" s="828">
        <v>1</v>
      </c>
      <c r="I81" s="830">
        <v>1</v>
      </c>
      <c r="J81" s="830">
        <v>1</v>
      </c>
      <c r="K81" s="669">
        <v>0</v>
      </c>
      <c r="L81" s="671">
        <v>0</v>
      </c>
      <c r="M81" s="672" t="s">
        <v>55</v>
      </c>
      <c r="N81" s="672" t="s">
        <v>1167</v>
      </c>
    </row>
    <row r="82" spans="1:14">
      <c r="A82" s="668" t="s">
        <v>1195</v>
      </c>
      <c r="B82" s="685"/>
      <c r="C82" s="685"/>
      <c r="D82" s="669">
        <v>0</v>
      </c>
      <c r="E82" s="828">
        <v>1</v>
      </c>
      <c r="F82" s="828">
        <v>1</v>
      </c>
      <c r="G82" s="828">
        <v>1</v>
      </c>
      <c r="H82" s="828">
        <v>1</v>
      </c>
      <c r="I82" s="830">
        <v>1</v>
      </c>
      <c r="J82" s="830">
        <v>1</v>
      </c>
      <c r="K82" s="669">
        <v>0</v>
      </c>
      <c r="L82" s="671">
        <v>0</v>
      </c>
      <c r="M82" s="672" t="s">
        <v>55</v>
      </c>
      <c r="N82" s="672" t="s">
        <v>1167</v>
      </c>
    </row>
    <row r="83" spans="1:14" ht="40.799999999999997">
      <c r="A83" s="668"/>
      <c r="B83" s="664" t="s">
        <v>945</v>
      </c>
      <c r="C83" s="664"/>
      <c r="D83" s="664" t="s">
        <v>946</v>
      </c>
      <c r="E83" s="665" t="s">
        <v>947</v>
      </c>
      <c r="F83" s="663" t="s">
        <v>948</v>
      </c>
      <c r="G83" s="663" t="s">
        <v>949</v>
      </c>
      <c r="H83" s="663" t="s">
        <v>950</v>
      </c>
      <c r="I83" s="666" t="s">
        <v>951</v>
      </c>
      <c r="J83" s="666" t="s">
        <v>952</v>
      </c>
      <c r="K83" s="665" t="s">
        <v>953</v>
      </c>
      <c r="L83" s="667" t="s">
        <v>954</v>
      </c>
      <c r="M83" s="672"/>
      <c r="N83" s="672"/>
    </row>
    <row r="84" spans="1:14">
      <c r="A84" s="668" t="s">
        <v>1003</v>
      </c>
      <c r="B84" s="685"/>
      <c r="C84" s="685"/>
      <c r="D84" s="669">
        <v>0</v>
      </c>
      <c r="E84" s="828">
        <v>1</v>
      </c>
      <c r="F84" s="828">
        <v>1</v>
      </c>
      <c r="G84" s="828">
        <v>1</v>
      </c>
      <c r="H84" s="828">
        <v>1</v>
      </c>
      <c r="I84" s="830">
        <v>1</v>
      </c>
      <c r="J84" s="830">
        <v>1</v>
      </c>
      <c r="K84" s="669">
        <v>0</v>
      </c>
      <c r="L84" s="671">
        <v>0</v>
      </c>
      <c r="M84" s="672" t="s">
        <v>55</v>
      </c>
      <c r="N84" s="672" t="s">
        <v>388</v>
      </c>
    </row>
    <row r="85" spans="1:14">
      <c r="A85" s="668" t="s">
        <v>1004</v>
      </c>
      <c r="B85" s="685"/>
      <c r="C85" s="685"/>
      <c r="D85" s="669">
        <v>0</v>
      </c>
      <c r="E85" s="669">
        <v>0</v>
      </c>
      <c r="F85" s="669">
        <v>0</v>
      </c>
      <c r="G85" s="669">
        <v>0</v>
      </c>
      <c r="H85" s="669">
        <v>0</v>
      </c>
      <c r="I85" s="670"/>
      <c r="J85" s="670"/>
      <c r="K85" s="828">
        <v>1</v>
      </c>
      <c r="L85" s="671">
        <v>0</v>
      </c>
      <c r="M85" s="672" t="s">
        <v>55</v>
      </c>
      <c r="N85" s="672" t="s">
        <v>388</v>
      </c>
    </row>
    <row r="86" spans="1:14">
      <c r="A86" s="668" t="s">
        <v>1005</v>
      </c>
      <c r="B86" s="685"/>
      <c r="C86" s="685"/>
      <c r="D86" s="669">
        <v>0</v>
      </c>
      <c r="E86" s="669">
        <v>0</v>
      </c>
      <c r="F86" s="669">
        <v>0</v>
      </c>
      <c r="G86" s="669">
        <v>0</v>
      </c>
      <c r="H86" s="669">
        <v>0</v>
      </c>
      <c r="I86" s="670"/>
      <c r="J86" s="670"/>
      <c r="K86" s="669">
        <v>0</v>
      </c>
      <c r="L86" s="831">
        <v>1</v>
      </c>
      <c r="M86" s="672" t="s">
        <v>55</v>
      </c>
      <c r="N86" s="672" t="s">
        <v>388</v>
      </c>
    </row>
    <row r="87" spans="1:14">
      <c r="A87" s="668" t="s">
        <v>1006</v>
      </c>
      <c r="B87" s="685"/>
      <c r="C87" s="685"/>
      <c r="D87" s="669">
        <v>0</v>
      </c>
      <c r="E87" s="828">
        <v>1</v>
      </c>
      <c r="F87" s="828">
        <v>1</v>
      </c>
      <c r="G87" s="828">
        <v>1</v>
      </c>
      <c r="H87" s="828">
        <v>1</v>
      </c>
      <c r="I87" s="830">
        <v>1</v>
      </c>
      <c r="J87" s="830">
        <v>1</v>
      </c>
      <c r="K87" s="669">
        <v>0</v>
      </c>
      <c r="L87" s="671">
        <v>0</v>
      </c>
      <c r="M87" s="672" t="s">
        <v>55</v>
      </c>
      <c r="N87" s="672" t="s">
        <v>388</v>
      </c>
    </row>
    <row r="88" spans="1:14">
      <c r="A88" s="668" t="s">
        <v>1007</v>
      </c>
      <c r="B88" s="685"/>
      <c r="C88" s="685"/>
      <c r="D88" s="669">
        <v>0</v>
      </c>
      <c r="E88" s="669">
        <v>0</v>
      </c>
      <c r="F88" s="669">
        <v>0</v>
      </c>
      <c r="G88" s="669">
        <v>0</v>
      </c>
      <c r="H88" s="669">
        <v>0</v>
      </c>
      <c r="I88" s="670">
        <v>0</v>
      </c>
      <c r="J88" s="670">
        <v>0</v>
      </c>
      <c r="K88" s="828">
        <v>1</v>
      </c>
      <c r="L88" s="671">
        <v>0</v>
      </c>
      <c r="M88" s="672" t="s">
        <v>55</v>
      </c>
      <c r="N88" s="672" t="s">
        <v>388</v>
      </c>
    </row>
    <row r="89" spans="1:14">
      <c r="A89" s="668" t="s">
        <v>1008</v>
      </c>
      <c r="B89" s="685"/>
      <c r="C89" s="685"/>
      <c r="D89" s="669">
        <v>0</v>
      </c>
      <c r="E89" s="669">
        <v>0</v>
      </c>
      <c r="F89" s="669">
        <v>0</v>
      </c>
      <c r="G89" s="669">
        <v>0</v>
      </c>
      <c r="H89" s="669">
        <v>0</v>
      </c>
      <c r="I89" s="670">
        <v>0</v>
      </c>
      <c r="J89" s="670">
        <v>0</v>
      </c>
      <c r="K89" s="669">
        <v>0</v>
      </c>
      <c r="L89" s="831">
        <v>1</v>
      </c>
      <c r="M89" s="672" t="s">
        <v>55</v>
      </c>
      <c r="N89" s="672" t="s">
        <v>388</v>
      </c>
    </row>
    <row r="90" spans="1:14">
      <c r="A90" s="668"/>
      <c r="B90" s="685"/>
      <c r="C90" s="685"/>
      <c r="D90" s="669"/>
      <c r="E90" s="669"/>
      <c r="F90" s="669"/>
      <c r="G90" s="669"/>
      <c r="H90" s="669"/>
      <c r="I90" s="670"/>
      <c r="J90" s="670"/>
      <c r="K90" s="669"/>
      <c r="L90" s="671"/>
      <c r="M90" s="672"/>
      <c r="N90" s="672"/>
    </row>
    <row r="91" spans="1:14" ht="40.799999999999997">
      <c r="A91" s="668"/>
      <c r="B91" s="664" t="s">
        <v>945</v>
      </c>
      <c r="C91" s="664"/>
      <c r="D91" s="664" t="s">
        <v>946</v>
      </c>
      <c r="E91" s="665" t="s">
        <v>947</v>
      </c>
      <c r="F91" s="663" t="s">
        <v>948</v>
      </c>
      <c r="G91" s="663" t="s">
        <v>949</v>
      </c>
      <c r="H91" s="663" t="s">
        <v>950</v>
      </c>
      <c r="I91" s="666" t="s">
        <v>951</v>
      </c>
      <c r="J91" s="666" t="s">
        <v>952</v>
      </c>
      <c r="K91" s="665" t="s">
        <v>953</v>
      </c>
      <c r="L91" s="667" t="s">
        <v>954</v>
      </c>
      <c r="M91" s="672"/>
      <c r="N91" s="672"/>
    </row>
    <row r="92" spans="1:14">
      <c r="A92" s="668" t="s">
        <v>1196</v>
      </c>
      <c r="B92" s="685"/>
      <c r="C92" s="685"/>
      <c r="D92" s="669">
        <v>0</v>
      </c>
      <c r="E92" s="669">
        <v>0</v>
      </c>
      <c r="F92" s="669">
        <v>0</v>
      </c>
      <c r="G92" s="669">
        <v>0</v>
      </c>
      <c r="H92" s="669">
        <v>0</v>
      </c>
      <c r="I92" s="670">
        <v>0</v>
      </c>
      <c r="J92" s="670">
        <v>0</v>
      </c>
      <c r="K92" s="669">
        <v>0</v>
      </c>
      <c r="L92" s="831">
        <v>1</v>
      </c>
      <c r="M92" s="672" t="s">
        <v>55</v>
      </c>
      <c r="N92" s="672" t="s">
        <v>388</v>
      </c>
    </row>
    <row r="93" spans="1:14">
      <c r="A93" s="668" t="s">
        <v>1197</v>
      </c>
      <c r="B93" s="685"/>
      <c r="C93" s="685"/>
      <c r="D93" s="669">
        <v>0</v>
      </c>
      <c r="E93" s="669">
        <v>0</v>
      </c>
      <c r="F93" s="669">
        <v>0</v>
      </c>
      <c r="G93" s="669">
        <v>0</v>
      </c>
      <c r="H93" s="669">
        <v>0</v>
      </c>
      <c r="I93" s="670">
        <v>0</v>
      </c>
      <c r="J93" s="670">
        <v>0</v>
      </c>
      <c r="K93" s="669">
        <v>0</v>
      </c>
      <c r="L93" s="831">
        <v>1</v>
      </c>
      <c r="M93" s="672" t="s">
        <v>55</v>
      </c>
      <c r="N93" s="672" t="s">
        <v>388</v>
      </c>
    </row>
    <row r="94" spans="1:14">
      <c r="A94" s="668"/>
      <c r="B94" s="685"/>
      <c r="C94" s="685"/>
      <c r="D94" s="669"/>
      <c r="E94" s="669"/>
      <c r="F94" s="669"/>
      <c r="G94" s="669"/>
      <c r="H94" s="669"/>
      <c r="I94" s="670"/>
      <c r="J94" s="670"/>
      <c r="K94" s="669"/>
      <c r="L94" s="671"/>
      <c r="M94" s="672"/>
      <c r="N94" s="672"/>
    </row>
    <row r="95" spans="1:14">
      <c r="A95" s="668"/>
      <c r="B95" s="685"/>
      <c r="C95" s="685"/>
      <c r="D95" s="669"/>
      <c r="E95" s="669"/>
      <c r="F95" s="669"/>
      <c r="G95" s="669"/>
      <c r="H95" s="669"/>
      <c r="I95" s="670"/>
      <c r="J95" s="670"/>
      <c r="K95" s="669"/>
      <c r="L95" s="671"/>
      <c r="M95" s="672"/>
      <c r="N95" s="672"/>
    </row>
    <row r="96" spans="1:14">
      <c r="A96" s="668" t="s">
        <v>1009</v>
      </c>
      <c r="B96" s="685"/>
      <c r="C96" s="685"/>
      <c r="D96" s="669">
        <v>0</v>
      </c>
      <c r="E96" s="669">
        <v>0</v>
      </c>
      <c r="F96" s="669">
        <v>0</v>
      </c>
      <c r="G96" s="669">
        <v>0</v>
      </c>
      <c r="H96" s="669">
        <v>0</v>
      </c>
      <c r="I96" s="670">
        <v>0</v>
      </c>
      <c r="J96" s="670">
        <v>0</v>
      </c>
      <c r="K96" s="669">
        <v>0</v>
      </c>
      <c r="L96" s="831">
        <v>1</v>
      </c>
      <c r="M96" s="672" t="s">
        <v>55</v>
      </c>
      <c r="N96" s="672" t="s">
        <v>1169</v>
      </c>
    </row>
    <row r="97" spans="1:14">
      <c r="A97" s="674"/>
      <c r="B97" s="680"/>
      <c r="C97" s="680"/>
      <c r="D97" s="674"/>
      <c r="E97" s="674"/>
      <c r="F97" s="674"/>
      <c r="G97" s="674"/>
      <c r="H97" s="674"/>
      <c r="I97" s="675"/>
      <c r="J97" s="675"/>
      <c r="K97" s="674"/>
      <c r="L97" s="676"/>
      <c r="M97" s="685"/>
      <c r="N97" s="685"/>
    </row>
    <row r="98" spans="1:14">
      <c r="A98" s="668"/>
      <c r="B98" s="685"/>
      <c r="C98" s="685"/>
      <c r="D98" s="668"/>
      <c r="E98" s="668"/>
      <c r="F98" s="668"/>
      <c r="G98" s="668"/>
      <c r="H98" s="668"/>
      <c r="I98" s="673"/>
      <c r="J98" s="673"/>
      <c r="K98" s="668"/>
      <c r="L98" s="690" t="s">
        <v>1170</v>
      </c>
      <c r="M98" s="685"/>
      <c r="N98" s="685"/>
    </row>
    <row r="99" spans="1:14">
      <c r="A99" s="668" t="s">
        <v>1010</v>
      </c>
      <c r="B99" s="685"/>
      <c r="C99" s="685"/>
      <c r="D99" s="668"/>
      <c r="E99" s="668"/>
      <c r="F99" s="668"/>
      <c r="G99" s="668"/>
      <c r="H99" s="668"/>
      <c r="I99" s="673"/>
      <c r="J99" s="673"/>
      <c r="K99" s="668"/>
      <c r="L99" s="833">
        <v>1</v>
      </c>
      <c r="M99" s="672" t="s">
        <v>55</v>
      </c>
      <c r="N99" s="672" t="s">
        <v>1171</v>
      </c>
    </row>
    <row r="100" spans="1:14">
      <c r="A100" s="668" t="s">
        <v>1011</v>
      </c>
      <c r="B100" s="685"/>
      <c r="C100" s="685"/>
      <c r="D100" s="668"/>
      <c r="E100" s="668"/>
      <c r="F100" s="668"/>
      <c r="G100" s="668"/>
      <c r="H100" s="668"/>
      <c r="I100" s="673"/>
      <c r="J100" s="673"/>
      <c r="K100" s="668"/>
      <c r="L100" s="831">
        <v>1</v>
      </c>
      <c r="M100" s="672" t="s">
        <v>55</v>
      </c>
      <c r="N100" s="672" t="s">
        <v>1171</v>
      </c>
    </row>
    <row r="101" spans="1:14">
      <c r="A101" s="668" t="s">
        <v>1012</v>
      </c>
      <c r="B101" s="685"/>
      <c r="C101" s="685"/>
      <c r="D101" s="668"/>
      <c r="E101" s="668"/>
      <c r="F101" s="668"/>
      <c r="G101" s="668"/>
      <c r="H101" s="668"/>
      <c r="I101" s="673"/>
      <c r="J101" s="673"/>
      <c r="K101" s="668"/>
      <c r="L101" s="831">
        <v>1</v>
      </c>
      <c r="M101" s="672" t="s">
        <v>55</v>
      </c>
      <c r="N101" s="672" t="s">
        <v>1171</v>
      </c>
    </row>
    <row r="102" spans="1:14">
      <c r="A102" s="668" t="s">
        <v>1013</v>
      </c>
      <c r="B102" s="685"/>
      <c r="C102" s="685"/>
      <c r="D102" s="668"/>
      <c r="E102" s="668"/>
      <c r="F102" s="668"/>
      <c r="G102" s="668"/>
      <c r="H102" s="668"/>
      <c r="I102" s="673"/>
      <c r="J102" s="673"/>
      <c r="K102" s="668"/>
      <c r="L102" s="831">
        <v>1</v>
      </c>
      <c r="M102" s="672" t="s">
        <v>55</v>
      </c>
      <c r="N102" s="672" t="s">
        <v>1171</v>
      </c>
    </row>
    <row r="103" spans="1:14">
      <c r="A103" s="674"/>
      <c r="B103" s="680"/>
      <c r="C103" s="680"/>
      <c r="D103" s="674"/>
      <c r="E103" s="674"/>
      <c r="F103" s="674"/>
      <c r="G103" s="674"/>
      <c r="H103" s="674"/>
      <c r="I103" s="675"/>
      <c r="J103" s="675"/>
      <c r="K103" s="674"/>
      <c r="L103" s="676"/>
      <c r="M103" s="685"/>
      <c r="N103" s="685"/>
    </row>
    <row r="104" spans="1:14">
      <c r="A104" s="668" t="s">
        <v>1014</v>
      </c>
      <c r="B104" s="685"/>
      <c r="C104" s="685"/>
      <c r="D104" s="668"/>
      <c r="E104" s="668"/>
      <c r="F104" s="668"/>
      <c r="G104" s="668"/>
      <c r="H104" s="668"/>
      <c r="I104" s="673"/>
      <c r="J104" s="673"/>
      <c r="K104" s="668"/>
      <c r="L104" s="831">
        <v>1</v>
      </c>
      <c r="M104" s="672" t="s">
        <v>55</v>
      </c>
      <c r="N104" s="672" t="s">
        <v>388</v>
      </c>
    </row>
    <row r="105" spans="1:14">
      <c r="A105" s="668" t="s">
        <v>1015</v>
      </c>
      <c r="B105" s="685"/>
      <c r="C105" s="685"/>
      <c r="D105" s="668"/>
      <c r="E105" s="668"/>
      <c r="F105" s="668"/>
      <c r="G105" s="668"/>
      <c r="H105" s="668"/>
      <c r="I105" s="673"/>
      <c r="J105" s="673"/>
      <c r="K105" s="668"/>
      <c r="L105" s="831">
        <v>1</v>
      </c>
      <c r="M105" s="672" t="s">
        <v>55</v>
      </c>
      <c r="N105" s="672" t="s">
        <v>388</v>
      </c>
    </row>
    <row r="106" spans="1:14">
      <c r="A106" s="668" t="s">
        <v>1016</v>
      </c>
      <c r="B106" s="685"/>
      <c r="C106" s="685"/>
      <c r="D106" s="668"/>
      <c r="E106" s="668"/>
      <c r="F106" s="668"/>
      <c r="G106" s="668"/>
      <c r="H106" s="668"/>
      <c r="I106" s="673"/>
      <c r="J106" s="673"/>
      <c r="K106" s="668"/>
      <c r="L106" s="831">
        <v>1</v>
      </c>
      <c r="M106" s="672" t="s">
        <v>55</v>
      </c>
      <c r="N106" s="672" t="s">
        <v>388</v>
      </c>
    </row>
    <row r="107" spans="1:14">
      <c r="A107" s="668" t="s">
        <v>1017</v>
      </c>
      <c r="B107" s="685"/>
      <c r="C107" s="685"/>
      <c r="D107" s="668"/>
      <c r="E107" s="668"/>
      <c r="F107" s="668"/>
      <c r="G107" s="668"/>
      <c r="H107" s="668"/>
      <c r="I107" s="673"/>
      <c r="J107" s="673"/>
      <c r="K107" s="668"/>
      <c r="L107" s="831">
        <v>1</v>
      </c>
      <c r="M107" s="672" t="s">
        <v>55</v>
      </c>
      <c r="N107" s="672" t="s">
        <v>388</v>
      </c>
    </row>
    <row r="108" spans="1:14">
      <c r="A108" s="668" t="s">
        <v>1018</v>
      </c>
      <c r="B108" s="685"/>
      <c r="C108" s="685"/>
      <c r="D108" s="668"/>
      <c r="E108" s="668"/>
      <c r="F108" s="668"/>
      <c r="G108" s="668"/>
      <c r="H108" s="668"/>
      <c r="I108" s="673"/>
      <c r="J108" s="673"/>
      <c r="K108" s="668"/>
      <c r="L108" s="831">
        <v>1</v>
      </c>
      <c r="M108" s="672" t="s">
        <v>55</v>
      </c>
      <c r="N108" s="672" t="s">
        <v>388</v>
      </c>
    </row>
    <row r="109" spans="1:14">
      <c r="A109" s="668" t="s">
        <v>1019</v>
      </c>
      <c r="B109" s="685"/>
      <c r="C109" s="685"/>
      <c r="D109" s="668"/>
      <c r="E109" s="668"/>
      <c r="F109" s="668"/>
      <c r="G109" s="668"/>
      <c r="H109" s="668"/>
      <c r="I109" s="673"/>
      <c r="J109" s="673"/>
      <c r="K109" s="668"/>
      <c r="L109" s="831">
        <v>1</v>
      </c>
      <c r="M109" s="672" t="s">
        <v>55</v>
      </c>
      <c r="N109" s="672" t="s">
        <v>388</v>
      </c>
    </row>
    <row r="110" spans="1:14">
      <c r="A110" s="668" t="s">
        <v>1020</v>
      </c>
      <c r="B110" s="685"/>
      <c r="C110" s="685"/>
      <c r="D110" s="668"/>
      <c r="E110" s="668"/>
      <c r="F110" s="668"/>
      <c r="G110" s="668"/>
      <c r="H110" s="668"/>
      <c r="I110" s="673"/>
      <c r="J110" s="673"/>
      <c r="K110" s="668"/>
      <c r="L110" s="831">
        <v>1</v>
      </c>
      <c r="M110" s="672" t="s">
        <v>55</v>
      </c>
      <c r="N110" s="672" t="s">
        <v>388</v>
      </c>
    </row>
    <row r="111" spans="1:14">
      <c r="A111" s="668" t="s">
        <v>1021</v>
      </c>
      <c r="B111" s="685"/>
      <c r="C111" s="685"/>
      <c r="D111" s="672"/>
      <c r="E111" s="672"/>
      <c r="F111" s="672"/>
      <c r="G111" s="672"/>
      <c r="H111" s="672"/>
      <c r="I111" s="670"/>
      <c r="J111" s="670"/>
      <c r="K111" s="672"/>
      <c r="L111" s="831">
        <v>1</v>
      </c>
      <c r="M111" s="672" t="s">
        <v>55</v>
      </c>
      <c r="N111" s="672" t="s">
        <v>388</v>
      </c>
    </row>
    <row r="112" spans="1:14">
      <c r="A112" s="692"/>
      <c r="B112" s="692"/>
      <c r="C112" s="692"/>
      <c r="D112" s="692"/>
      <c r="E112" s="692"/>
      <c r="F112" s="692"/>
      <c r="G112" s="692"/>
      <c r="H112" s="692"/>
      <c r="I112" s="693"/>
      <c r="J112" s="693"/>
      <c r="K112" s="692"/>
      <c r="L112" s="694"/>
      <c r="M112" s="695"/>
      <c r="N112" s="695"/>
    </row>
    <row r="113" spans="1:14" ht="21.6">
      <c r="A113" s="685"/>
      <c r="B113" s="685"/>
      <c r="C113" s="685"/>
      <c r="D113" s="672"/>
      <c r="E113" s="672"/>
      <c r="F113" s="672"/>
      <c r="G113" s="672"/>
      <c r="H113" s="672"/>
      <c r="I113" s="696" t="s">
        <v>1172</v>
      </c>
      <c r="J113" s="696" t="s">
        <v>1173</v>
      </c>
      <c r="K113" s="672"/>
      <c r="L113" s="668"/>
      <c r="M113" s="672"/>
      <c r="N113" s="672"/>
    </row>
    <row r="114" spans="1:14">
      <c r="A114" s="668" t="s">
        <v>1147</v>
      </c>
      <c r="B114" s="685"/>
      <c r="C114" s="685"/>
      <c r="D114" s="672"/>
      <c r="E114" s="669"/>
      <c r="F114" s="669"/>
      <c r="G114" s="669"/>
      <c r="H114" s="669"/>
      <c r="I114" s="830">
        <v>1</v>
      </c>
      <c r="J114" s="830">
        <v>1</v>
      </c>
      <c r="K114" s="672"/>
      <c r="L114" s="668"/>
      <c r="M114" s="672" t="s">
        <v>55</v>
      </c>
      <c r="N114" s="672" t="s">
        <v>1174</v>
      </c>
    </row>
    <row r="115" spans="1:14">
      <c r="A115" s="685"/>
      <c r="B115" s="685"/>
      <c r="C115" s="685"/>
      <c r="D115" s="672"/>
      <c r="E115" s="672" t="s">
        <v>1175</v>
      </c>
      <c r="F115" s="672" t="s">
        <v>1176</v>
      </c>
      <c r="G115" s="672" t="s">
        <v>1177</v>
      </c>
      <c r="H115" s="672"/>
      <c r="I115" s="670"/>
      <c r="J115" s="670"/>
      <c r="K115" s="672"/>
      <c r="L115" s="672"/>
      <c r="M115" s="672"/>
      <c r="N115" s="672"/>
    </row>
    <row r="116" spans="1:14">
      <c r="A116" s="668" t="s">
        <v>1148</v>
      </c>
      <c r="B116" s="685"/>
      <c r="C116" s="685"/>
      <c r="D116" s="672"/>
      <c r="E116" s="670">
        <v>0</v>
      </c>
      <c r="F116" s="670">
        <v>0</v>
      </c>
      <c r="G116" s="830">
        <v>1</v>
      </c>
      <c r="H116" s="672"/>
      <c r="I116" s="670"/>
      <c r="J116" s="670"/>
      <c r="K116" s="672"/>
      <c r="L116" s="672"/>
      <c r="M116" s="672" t="s">
        <v>48</v>
      </c>
      <c r="N116" s="672" t="s">
        <v>388</v>
      </c>
    </row>
    <row r="117" spans="1:14">
      <c r="A117" s="668" t="s">
        <v>1149</v>
      </c>
      <c r="B117" s="685"/>
      <c r="C117" s="685"/>
      <c r="D117" s="672"/>
      <c r="E117" s="830">
        <v>1</v>
      </c>
      <c r="F117" s="670">
        <v>0</v>
      </c>
      <c r="G117" s="830">
        <v>1</v>
      </c>
      <c r="H117" s="672"/>
      <c r="I117" s="670"/>
      <c r="J117" s="670"/>
      <c r="K117" s="672"/>
      <c r="L117" s="672"/>
      <c r="M117" s="672" t="s">
        <v>48</v>
      </c>
      <c r="N117" s="672" t="s">
        <v>388</v>
      </c>
    </row>
    <row r="118" spans="1:14">
      <c r="A118" s="668" t="s">
        <v>1150</v>
      </c>
      <c r="B118" s="685"/>
      <c r="C118" s="685"/>
      <c r="D118" s="672"/>
      <c r="E118" s="830">
        <v>1</v>
      </c>
      <c r="F118" s="830">
        <v>1</v>
      </c>
      <c r="G118" s="830">
        <v>1</v>
      </c>
      <c r="H118" s="672"/>
      <c r="I118" s="670"/>
      <c r="J118" s="670"/>
      <c r="K118" s="672"/>
      <c r="L118" s="672"/>
      <c r="M118" s="672" t="s">
        <v>48</v>
      </c>
      <c r="N118" s="672" t="s">
        <v>388</v>
      </c>
    </row>
    <row r="119" spans="1:14">
      <c r="A119" s="668" t="s">
        <v>1151</v>
      </c>
      <c r="B119" s="685"/>
      <c r="C119" s="685"/>
      <c r="D119" s="672"/>
      <c r="E119" s="670">
        <v>0</v>
      </c>
      <c r="F119" s="670">
        <v>0</v>
      </c>
      <c r="G119" s="670">
        <v>0</v>
      </c>
      <c r="H119" s="672"/>
      <c r="I119" s="670"/>
      <c r="J119" s="670"/>
      <c r="K119" s="672"/>
      <c r="L119" s="672"/>
      <c r="M119" s="672" t="s">
        <v>48</v>
      </c>
      <c r="N119" s="672" t="s">
        <v>388</v>
      </c>
    </row>
    <row r="120" spans="1:14">
      <c r="A120" s="697"/>
      <c r="B120" s="685"/>
      <c r="C120" s="685"/>
      <c r="D120" s="672"/>
      <c r="E120" s="670">
        <v>0</v>
      </c>
      <c r="F120" s="670">
        <v>0</v>
      </c>
      <c r="G120" s="670">
        <v>0</v>
      </c>
      <c r="H120" s="672"/>
      <c r="I120" s="670"/>
      <c r="J120" s="670"/>
      <c r="K120" s="672"/>
      <c r="L120" s="672"/>
      <c r="M120" s="672"/>
      <c r="N120" s="672"/>
    </row>
    <row r="121" spans="1:14">
      <c r="A121" s="668" t="s">
        <v>1152</v>
      </c>
      <c r="B121" s="685"/>
      <c r="C121" s="685"/>
      <c r="D121" s="672"/>
      <c r="E121" s="670">
        <v>0</v>
      </c>
      <c r="F121" s="670">
        <v>0</v>
      </c>
      <c r="G121" s="830">
        <v>1</v>
      </c>
      <c r="H121" s="672"/>
      <c r="I121" s="670"/>
      <c r="J121" s="670"/>
      <c r="K121" s="672"/>
      <c r="L121" s="672"/>
      <c r="M121" s="672" t="s">
        <v>48</v>
      </c>
      <c r="N121" s="672" t="s">
        <v>388</v>
      </c>
    </row>
    <row r="122" spans="1:14">
      <c r="A122" s="668" t="s">
        <v>1153</v>
      </c>
      <c r="B122" s="685"/>
      <c r="C122" s="685"/>
      <c r="D122" s="672"/>
      <c r="E122" s="830">
        <v>1</v>
      </c>
      <c r="F122" s="830">
        <v>1</v>
      </c>
      <c r="G122" s="830">
        <v>1</v>
      </c>
      <c r="H122" s="672"/>
      <c r="I122" s="670"/>
      <c r="J122" s="670"/>
      <c r="K122" s="672"/>
      <c r="L122" s="672"/>
      <c r="M122" s="672" t="s">
        <v>48</v>
      </c>
      <c r="N122" s="672" t="s">
        <v>388</v>
      </c>
    </row>
    <row r="123" spans="1:14">
      <c r="A123" s="668" t="s">
        <v>1154</v>
      </c>
      <c r="B123" s="685"/>
      <c r="C123" s="685"/>
      <c r="D123" s="672"/>
      <c r="E123" s="830">
        <v>1</v>
      </c>
      <c r="F123" s="830">
        <v>1</v>
      </c>
      <c r="G123" s="830">
        <v>1</v>
      </c>
      <c r="H123" s="672"/>
      <c r="I123" s="670"/>
      <c r="J123" s="670"/>
      <c r="K123" s="672"/>
      <c r="L123" s="672"/>
      <c r="M123" s="672" t="s">
        <v>48</v>
      </c>
      <c r="N123" s="672" t="s">
        <v>388</v>
      </c>
    </row>
    <row r="124" spans="1:14">
      <c r="A124" s="662"/>
      <c r="B124" s="662"/>
      <c r="C124" s="662"/>
      <c r="I124" s="698"/>
      <c r="J124" s="698"/>
    </row>
    <row r="125" spans="1:14">
      <c r="A125" s="668" t="s">
        <v>1198</v>
      </c>
      <c r="B125" s="685"/>
      <c r="C125" s="685"/>
      <c r="D125" s="834">
        <v>1</v>
      </c>
      <c r="E125" s="670"/>
      <c r="F125" s="670"/>
      <c r="G125" s="670"/>
      <c r="H125" s="672"/>
      <c r="I125" s="670"/>
      <c r="J125" s="670"/>
      <c r="K125" s="834">
        <v>1</v>
      </c>
      <c r="L125" s="672"/>
      <c r="M125" s="672" t="s">
        <v>48</v>
      </c>
      <c r="N125" s="672" t="s">
        <v>1168</v>
      </c>
    </row>
    <row r="126" spans="1:14">
      <c r="A126" s="668" t="s">
        <v>1199</v>
      </c>
      <c r="B126" s="685"/>
      <c r="C126" s="685"/>
      <c r="D126" s="834">
        <v>1</v>
      </c>
      <c r="E126" s="670"/>
      <c r="F126" s="670"/>
      <c r="G126" s="670"/>
      <c r="H126" s="672"/>
      <c r="I126" s="670"/>
      <c r="J126" s="670"/>
      <c r="K126" s="834">
        <v>1</v>
      </c>
      <c r="L126" s="672"/>
      <c r="M126" s="672" t="s">
        <v>48</v>
      </c>
      <c r="N126" s="672" t="s">
        <v>1168</v>
      </c>
    </row>
    <row r="127" spans="1:14">
      <c r="A127" s="668" t="s">
        <v>1200</v>
      </c>
      <c r="B127" s="685"/>
      <c r="C127" s="685"/>
      <c r="D127" s="834">
        <v>1</v>
      </c>
      <c r="E127" s="670"/>
      <c r="F127" s="670"/>
      <c r="G127" s="670"/>
      <c r="H127" s="672"/>
      <c r="I127" s="670"/>
      <c r="J127" s="670"/>
      <c r="K127" s="834">
        <v>1</v>
      </c>
      <c r="L127" s="672"/>
      <c r="M127" s="672" t="s">
        <v>48</v>
      </c>
      <c r="N127" s="672" t="s">
        <v>1168</v>
      </c>
    </row>
    <row r="128" spans="1:14">
      <c r="A128" s="662"/>
      <c r="B128" s="662"/>
      <c r="C128" s="662"/>
      <c r="I128" s="698"/>
      <c r="J128" s="698"/>
    </row>
    <row r="129" spans="1:14">
      <c r="A129" s="668" t="s">
        <v>1201</v>
      </c>
      <c r="B129" s="832">
        <v>0.01</v>
      </c>
      <c r="C129" s="662"/>
      <c r="D129" s="672"/>
      <c r="E129" s="670"/>
      <c r="F129" s="670"/>
      <c r="G129" s="670"/>
      <c r="H129" s="672"/>
      <c r="I129" s="670"/>
      <c r="J129" s="670"/>
      <c r="K129" s="672"/>
      <c r="L129" s="672"/>
      <c r="M129" s="672" t="s">
        <v>55</v>
      </c>
      <c r="N129" s="672" t="s">
        <v>14</v>
      </c>
    </row>
    <row r="130" spans="1:14">
      <c r="A130" s="668" t="s">
        <v>1202</v>
      </c>
      <c r="B130" s="679">
        <v>0</v>
      </c>
      <c r="C130" s="662"/>
      <c r="D130" s="672"/>
      <c r="E130" s="670"/>
      <c r="F130" s="670"/>
      <c r="G130" s="670"/>
      <c r="H130" s="672"/>
      <c r="I130" s="670"/>
      <c r="J130" s="670"/>
      <c r="K130" s="672"/>
      <c r="L130" s="672"/>
      <c r="M130" s="672" t="s">
        <v>55</v>
      </c>
      <c r="N130" s="672" t="s">
        <v>14</v>
      </c>
    </row>
    <row r="131" spans="1:14">
      <c r="A131" s="668" t="s">
        <v>1203</v>
      </c>
      <c r="B131" s="679">
        <v>0</v>
      </c>
      <c r="C131" s="662"/>
      <c r="D131" s="672"/>
      <c r="E131" s="670"/>
      <c r="F131" s="670"/>
      <c r="G131" s="670"/>
      <c r="H131" s="672"/>
      <c r="I131" s="670"/>
      <c r="J131" s="670"/>
      <c r="K131" s="672"/>
      <c r="L131" s="672"/>
      <c r="M131" s="672" t="s">
        <v>55</v>
      </c>
      <c r="N131" s="672" t="s">
        <v>14</v>
      </c>
    </row>
    <row r="132" spans="1:14">
      <c r="A132" s="668" t="s">
        <v>1204</v>
      </c>
      <c r="B132" s="679">
        <v>0</v>
      </c>
      <c r="C132" s="662"/>
      <c r="D132" s="672"/>
      <c r="E132" s="670"/>
      <c r="F132" s="670"/>
      <c r="G132" s="670"/>
      <c r="H132" s="672"/>
      <c r="I132" s="670"/>
      <c r="J132" s="670"/>
      <c r="K132" s="672"/>
      <c r="L132" s="672"/>
      <c r="M132" s="672" t="s">
        <v>55</v>
      </c>
      <c r="N132" s="672" t="s">
        <v>1205</v>
      </c>
    </row>
    <row r="133" spans="1:14" ht="40.799999999999997">
      <c r="A133" s="662"/>
      <c r="B133" s="678" t="s">
        <v>945</v>
      </c>
      <c r="C133" s="678"/>
      <c r="D133" s="678" t="s">
        <v>946</v>
      </c>
      <c r="E133" s="678" t="s">
        <v>947</v>
      </c>
      <c r="F133" s="678" t="s">
        <v>948</v>
      </c>
      <c r="G133" s="678" t="s">
        <v>949</v>
      </c>
      <c r="H133" s="678" t="s">
        <v>950</v>
      </c>
      <c r="I133" s="678" t="s">
        <v>1239</v>
      </c>
      <c r="J133" s="678" t="s">
        <v>1240</v>
      </c>
      <c r="K133" s="678" t="s">
        <v>953</v>
      </c>
      <c r="L133" s="678" t="s">
        <v>954</v>
      </c>
    </row>
    <row r="134" spans="1:14">
      <c r="A134" s="668" t="s">
        <v>1245</v>
      </c>
      <c r="B134" s="668"/>
      <c r="C134" s="668"/>
      <c r="D134" s="669">
        <v>0</v>
      </c>
      <c r="E134" s="828">
        <v>1</v>
      </c>
      <c r="F134" s="828">
        <v>1</v>
      </c>
      <c r="G134" s="828">
        <v>1</v>
      </c>
      <c r="H134" s="828">
        <v>1</v>
      </c>
      <c r="I134" s="830">
        <v>1</v>
      </c>
      <c r="J134" s="830">
        <v>1</v>
      </c>
      <c r="K134" s="828">
        <v>1</v>
      </c>
      <c r="L134" s="831">
        <v>1</v>
      </c>
      <c r="M134" s="672" t="s">
        <v>55</v>
      </c>
      <c r="N134" s="672" t="s">
        <v>388</v>
      </c>
    </row>
    <row r="135" spans="1:14">
      <c r="A135" s="668" t="s">
        <v>1246</v>
      </c>
      <c r="B135" s="668"/>
      <c r="C135" s="668"/>
      <c r="D135" s="669">
        <v>0</v>
      </c>
      <c r="E135" s="828">
        <v>1</v>
      </c>
      <c r="F135" s="828">
        <v>1</v>
      </c>
      <c r="G135" s="828">
        <v>1</v>
      </c>
      <c r="H135" s="828">
        <v>1</v>
      </c>
      <c r="I135" s="830">
        <v>1</v>
      </c>
      <c r="J135" s="830">
        <v>1</v>
      </c>
      <c r="K135" s="828">
        <v>1</v>
      </c>
      <c r="L135" s="831">
        <v>1</v>
      </c>
      <c r="M135" s="672" t="s">
        <v>55</v>
      </c>
      <c r="N135" s="672" t="s">
        <v>388</v>
      </c>
    </row>
    <row r="136" spans="1:14">
      <c r="A136" s="662"/>
      <c r="B136" s="662"/>
      <c r="C136" s="662"/>
      <c r="I136" s="698"/>
      <c r="J136" s="698"/>
      <c r="N136" s="672"/>
    </row>
    <row r="137" spans="1:14">
      <c r="A137" s="668" t="s">
        <v>1247</v>
      </c>
      <c r="B137" s="685"/>
      <c r="C137" s="685"/>
      <c r="D137" s="669">
        <v>0</v>
      </c>
      <c r="E137" s="828">
        <v>1</v>
      </c>
      <c r="F137" s="828">
        <v>1</v>
      </c>
      <c r="G137" s="828">
        <v>1</v>
      </c>
      <c r="H137" s="828">
        <v>1</v>
      </c>
      <c r="I137" s="830">
        <v>1</v>
      </c>
      <c r="J137" s="830">
        <v>1</v>
      </c>
      <c r="K137" s="669">
        <v>0</v>
      </c>
      <c r="L137" s="671">
        <v>0</v>
      </c>
      <c r="M137" s="672" t="s">
        <v>55</v>
      </c>
      <c r="N137" s="672" t="s">
        <v>388</v>
      </c>
    </row>
    <row r="138" spans="1:14">
      <c r="A138" s="668" t="s">
        <v>1248</v>
      </c>
      <c r="B138" s="685"/>
      <c r="C138" s="685"/>
      <c r="D138" s="669">
        <v>0</v>
      </c>
      <c r="E138" s="828">
        <v>1</v>
      </c>
      <c r="F138" s="828">
        <v>1</v>
      </c>
      <c r="G138" s="828">
        <v>1</v>
      </c>
      <c r="H138" s="828">
        <v>1</v>
      </c>
      <c r="I138" s="830">
        <v>1</v>
      </c>
      <c r="J138" s="830">
        <v>1</v>
      </c>
      <c r="K138" s="669">
        <v>0</v>
      </c>
      <c r="L138" s="671">
        <v>0</v>
      </c>
      <c r="M138" s="672" t="s">
        <v>55</v>
      </c>
      <c r="N138" s="672" t="s">
        <v>388</v>
      </c>
    </row>
  </sheetData>
  <conditionalFormatting sqref="A110">
    <cfRule type="expression" dxfId="43" priority="1">
      <formula>$I110="ja"</formula>
    </cfRule>
  </conditionalFormatting>
  <conditionalFormatting sqref="A111">
    <cfRule type="expression" dxfId="42" priority="16">
      <formula>$I111="ja"</formula>
    </cfRule>
  </conditionalFormatting>
  <conditionalFormatting sqref="A111">
    <cfRule type="expression" dxfId="41" priority="15">
      <formula>$I111="ja"</formula>
    </cfRule>
  </conditionalFormatting>
  <conditionalFormatting sqref="A104">
    <cfRule type="expression" dxfId="40" priority="14">
      <formula>$I104="ja"</formula>
    </cfRule>
  </conditionalFormatting>
  <conditionalFormatting sqref="A104">
    <cfRule type="expression" dxfId="39" priority="13">
      <formula>$I104="ja"</formula>
    </cfRule>
  </conditionalFormatting>
  <conditionalFormatting sqref="A105">
    <cfRule type="expression" dxfId="38" priority="12">
      <formula>$I105="ja"</formula>
    </cfRule>
  </conditionalFormatting>
  <conditionalFormatting sqref="A105">
    <cfRule type="expression" dxfId="37" priority="11">
      <formula>$I105="ja"</formula>
    </cfRule>
  </conditionalFormatting>
  <conditionalFormatting sqref="A106">
    <cfRule type="expression" dxfId="36" priority="10">
      <formula>$I106="ja"</formula>
    </cfRule>
  </conditionalFormatting>
  <conditionalFormatting sqref="A106">
    <cfRule type="expression" dxfId="35" priority="9">
      <formula>$I106="ja"</formula>
    </cfRule>
  </conditionalFormatting>
  <conditionalFormatting sqref="A107">
    <cfRule type="expression" dxfId="34" priority="8">
      <formula>$I107="ja"</formula>
    </cfRule>
  </conditionalFormatting>
  <conditionalFormatting sqref="A107">
    <cfRule type="expression" dxfId="33" priority="7">
      <formula>$I107="ja"</formula>
    </cfRule>
  </conditionalFormatting>
  <conditionalFormatting sqref="A108">
    <cfRule type="expression" dxfId="32" priority="6">
      <formula>$I108="ja"</formula>
    </cfRule>
  </conditionalFormatting>
  <conditionalFormatting sqref="A108">
    <cfRule type="expression" dxfId="31" priority="5">
      <formula>$I108="ja"</formula>
    </cfRule>
  </conditionalFormatting>
  <conditionalFormatting sqref="A109">
    <cfRule type="expression" dxfId="30" priority="4">
      <formula>$I109="ja"</formula>
    </cfRule>
  </conditionalFormatting>
  <conditionalFormatting sqref="A109">
    <cfRule type="expression" dxfId="29" priority="3">
      <formula>$I109="ja"</formula>
    </cfRule>
  </conditionalFormatting>
  <conditionalFormatting sqref="A110">
    <cfRule type="expression" dxfId="28" priority="2">
      <formula>$I110="ja"</formula>
    </cfRule>
  </conditionalFormatting>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4"/>
  <dimension ref="B1:I13"/>
  <sheetViews>
    <sheetView workbookViewId="0">
      <selection activeCell="C17" sqref="C17"/>
    </sheetView>
  </sheetViews>
  <sheetFormatPr defaultRowHeight="14.4"/>
  <cols>
    <col min="2" max="2" width="30.5546875" bestFit="1" customWidth="1"/>
    <col min="3" max="3" width="26.33203125" bestFit="1" customWidth="1"/>
    <col min="4" max="4" width="7" bestFit="1" customWidth="1"/>
    <col min="6" max="6" width="16.109375" bestFit="1" customWidth="1"/>
    <col min="7" max="7" width="5.109375" bestFit="1" customWidth="1"/>
    <col min="8" max="8" width="5.5546875" bestFit="1" customWidth="1"/>
    <col min="9" max="9" width="4" bestFit="1" customWidth="1"/>
  </cols>
  <sheetData>
    <row r="1" spans="2:9">
      <c r="B1" s="15" t="s">
        <v>711</v>
      </c>
      <c r="C1" s="15"/>
    </row>
    <row r="2" spans="2:9">
      <c r="B2" s="4"/>
      <c r="C2" s="4"/>
      <c r="D2" s="4"/>
      <c r="E2" s="4"/>
      <c r="F2" s="4" t="s">
        <v>495</v>
      </c>
      <c r="G2" s="4"/>
      <c r="H2" s="4"/>
      <c r="I2" s="4"/>
    </row>
    <row r="3" spans="2:9">
      <c r="B3" s="9" t="s">
        <v>3</v>
      </c>
      <c r="C3" s="9" t="s">
        <v>493</v>
      </c>
      <c r="D3" s="9" t="s">
        <v>494</v>
      </c>
      <c r="E3" s="4"/>
      <c r="F3" s="153" t="s">
        <v>11</v>
      </c>
      <c r="G3" s="153" t="s">
        <v>15</v>
      </c>
      <c r="H3" s="153" t="s">
        <v>16</v>
      </c>
      <c r="I3" s="153" t="s">
        <v>17</v>
      </c>
    </row>
    <row r="4" spans="2:9">
      <c r="B4" s="4" t="str">
        <f>C4&amp;D4</f>
        <v>Business Voice Nationaal10</v>
      </c>
      <c r="C4" s="12" t="s">
        <v>492</v>
      </c>
      <c r="D4" s="823">
        <v>10</v>
      </c>
      <c r="E4" s="4"/>
      <c r="F4" s="835">
        <v>0.1</v>
      </c>
      <c r="G4" s="835">
        <v>0.1</v>
      </c>
      <c r="H4" s="835">
        <v>0.05</v>
      </c>
      <c r="I4" s="835">
        <v>0.05</v>
      </c>
    </row>
    <row r="5" spans="2:9">
      <c r="B5" s="4" t="str">
        <f t="shared" ref="B5:B7" si="0">C5&amp;D5</f>
        <v>Business Voice Vast Mobiel10</v>
      </c>
      <c r="C5" s="12" t="s">
        <v>504</v>
      </c>
      <c r="D5" s="823">
        <v>10</v>
      </c>
      <c r="E5" s="4"/>
      <c r="F5" s="835">
        <v>0.05</v>
      </c>
      <c r="G5" s="835">
        <v>0.05</v>
      </c>
      <c r="H5" s="835">
        <v>0.1</v>
      </c>
      <c r="I5" s="835">
        <v>0.05</v>
      </c>
    </row>
    <row r="6" spans="2:9">
      <c r="B6" s="4" t="str">
        <f t="shared" si="0"/>
        <v>Business Voice Internationaal10</v>
      </c>
      <c r="C6" s="12" t="s">
        <v>505</v>
      </c>
      <c r="D6" s="823">
        <v>10</v>
      </c>
      <c r="E6" s="4"/>
      <c r="F6" s="835">
        <v>0.05</v>
      </c>
      <c r="G6" s="835">
        <v>0.05</v>
      </c>
      <c r="H6" s="835">
        <v>0.05</v>
      </c>
      <c r="I6" s="835">
        <v>0.1</v>
      </c>
    </row>
    <row r="7" spans="2:9">
      <c r="B7" s="4" t="str">
        <f t="shared" si="0"/>
        <v>TZ Max1.0</v>
      </c>
      <c r="C7" s="12" t="s">
        <v>530</v>
      </c>
      <c r="D7" s="4"/>
      <c r="E7" s="4"/>
      <c r="F7" s="835">
        <v>0.1</v>
      </c>
      <c r="G7" s="835">
        <v>0.1</v>
      </c>
      <c r="H7" s="835">
        <v>0.1</v>
      </c>
      <c r="I7" s="835">
        <v>0.1</v>
      </c>
    </row>
    <row r="8" spans="2:9">
      <c r="B8" s="4" t="str">
        <f t="shared" ref="B8:B13" si="1">C8&amp;D8</f>
        <v>Zakelijk BelBasis1-jaar contract</v>
      </c>
      <c r="C8" s="12" t="s">
        <v>596</v>
      </c>
      <c r="D8" s="4"/>
      <c r="E8" s="4"/>
      <c r="F8" s="835">
        <v>0.01</v>
      </c>
      <c r="G8" s="835">
        <v>0.01</v>
      </c>
      <c r="H8" s="835">
        <v>0.01</v>
      </c>
      <c r="I8" s="835">
        <v>0.01</v>
      </c>
    </row>
    <row r="9" spans="2:9">
      <c r="B9" s="4" t="str">
        <f t="shared" si="1"/>
        <v>Zakelijk BelBasis2-jaar contract</v>
      </c>
      <c r="C9" s="12" t="s">
        <v>597</v>
      </c>
      <c r="D9" s="4"/>
      <c r="E9" s="4"/>
      <c r="F9" s="835">
        <v>0.02</v>
      </c>
      <c r="G9" s="835">
        <v>0.02</v>
      </c>
      <c r="H9" s="835">
        <v>0.02</v>
      </c>
      <c r="I9" s="835">
        <v>0.02</v>
      </c>
    </row>
    <row r="10" spans="2:9">
      <c r="B10" s="4" t="str">
        <f t="shared" si="1"/>
        <v>Zakelijk BelBasis3-jaar contract</v>
      </c>
      <c r="C10" s="12" t="s">
        <v>598</v>
      </c>
      <c r="D10" s="4"/>
      <c r="E10" s="4"/>
      <c r="F10" s="835">
        <v>0.03</v>
      </c>
      <c r="G10" s="835">
        <v>0.03</v>
      </c>
      <c r="H10" s="835">
        <v>0.03</v>
      </c>
      <c r="I10" s="835">
        <v>0.03</v>
      </c>
    </row>
    <row r="11" spans="2:9">
      <c r="B11" s="4" t="str">
        <f t="shared" si="1"/>
        <v>Business Voice Zakelijk Glas</v>
      </c>
      <c r="C11" s="12" t="s">
        <v>434</v>
      </c>
      <c r="D11" s="4"/>
      <c r="E11" s="4"/>
      <c r="F11" s="835">
        <v>0.1</v>
      </c>
      <c r="G11" s="835">
        <v>0.1</v>
      </c>
      <c r="H11" s="835">
        <v>0.1</v>
      </c>
      <c r="I11" s="835">
        <v>0.1</v>
      </c>
    </row>
    <row r="12" spans="2:9">
      <c r="B12" s="4" t="str">
        <f t="shared" si="1"/>
        <v>CSO</v>
      </c>
      <c r="C12" s="12" t="s">
        <v>599</v>
      </c>
      <c r="D12" s="4"/>
      <c r="E12" s="4"/>
      <c r="F12" s="835">
        <v>0.1</v>
      </c>
      <c r="G12" s="835">
        <v>0.1</v>
      </c>
      <c r="H12" s="835">
        <v>0.1</v>
      </c>
      <c r="I12" s="835">
        <v>0.2</v>
      </c>
    </row>
    <row r="13" spans="2:9">
      <c r="B13" s="4" t="str">
        <f t="shared" si="1"/>
        <v>ZBTIDD contractsduurkorting</v>
      </c>
      <c r="C13" s="12" t="s">
        <v>1256</v>
      </c>
      <c r="D13" s="4"/>
      <c r="E13" s="4"/>
      <c r="F13" s="835">
        <v>0</v>
      </c>
      <c r="G13" s="835">
        <v>0</v>
      </c>
      <c r="H13" s="835">
        <v>0</v>
      </c>
      <c r="I13" s="835">
        <v>0.1</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5"/>
  <dimension ref="A2:U61"/>
  <sheetViews>
    <sheetView workbookViewId="0">
      <selection activeCell="E5" sqref="E5"/>
    </sheetView>
  </sheetViews>
  <sheetFormatPr defaultColWidth="9.109375" defaultRowHeight="12"/>
  <cols>
    <col min="1" max="1" width="19.88671875" style="4" customWidth="1"/>
    <col min="2" max="2" width="10" style="4" customWidth="1"/>
    <col min="3" max="3" width="14.33203125" style="4" customWidth="1"/>
    <col min="4" max="4" width="11.88671875" style="4" customWidth="1"/>
    <col min="5" max="5" width="11.109375" style="4" customWidth="1"/>
    <col min="6" max="6" width="14.6640625" style="4" customWidth="1"/>
    <col min="7" max="7" width="11.88671875" style="4" customWidth="1"/>
    <col min="8" max="8" width="11" style="4" customWidth="1"/>
    <col min="9" max="9" width="11.109375" style="4" customWidth="1"/>
    <col min="10" max="11" width="10.44140625" style="4" customWidth="1"/>
    <col min="12" max="12" width="14" style="4" customWidth="1"/>
    <col min="13" max="13" width="9.109375" style="4"/>
    <col min="14" max="14" width="12" style="4" customWidth="1"/>
    <col min="15" max="16384" width="9.109375" style="4"/>
  </cols>
  <sheetData>
    <row r="2" spans="1:21" ht="13.8">
      <c r="A2" s="108" t="s">
        <v>412</v>
      </c>
      <c r="B2" s="106"/>
    </row>
    <row r="3" spans="1:21">
      <c r="O3" s="728"/>
      <c r="P3" s="728"/>
      <c r="Q3" s="728"/>
    </row>
    <row r="4" spans="1:21" ht="36">
      <c r="A4" s="308" t="s">
        <v>411</v>
      </c>
      <c r="B4" s="309" t="s">
        <v>413</v>
      </c>
      <c r="C4" s="309" t="s">
        <v>7</v>
      </c>
      <c r="D4" s="309" t="s">
        <v>414</v>
      </c>
      <c r="E4" s="309" t="s">
        <v>415</v>
      </c>
      <c r="F4" s="309" t="s">
        <v>426</v>
      </c>
      <c r="G4" s="310" t="s">
        <v>423</v>
      </c>
      <c r="H4" s="310" t="s">
        <v>158</v>
      </c>
      <c r="I4" s="310" t="s">
        <v>430</v>
      </c>
      <c r="J4" s="310" t="s">
        <v>431</v>
      </c>
      <c r="K4" s="310" t="s">
        <v>417</v>
      </c>
      <c r="L4" s="310" t="s">
        <v>433</v>
      </c>
      <c r="M4" s="325" t="s">
        <v>427</v>
      </c>
      <c r="N4" s="105"/>
      <c r="O4" s="729"/>
      <c r="P4" s="730"/>
      <c r="Q4" s="730"/>
    </row>
    <row r="5" spans="1:21">
      <c r="A5" s="128" t="str">
        <f>B5&amp;C5</f>
        <v>BIBAnational</v>
      </c>
      <c r="B5" s="311" t="s">
        <v>11</v>
      </c>
      <c r="C5" s="311" t="s">
        <v>205</v>
      </c>
      <c r="D5" s="734">
        <f t="shared" ref="D5:D16" si="0">SUMPRODUCT(D47:F47,J47:L47)</f>
        <v>3.0200000000000001E-3</v>
      </c>
      <c r="E5" s="735">
        <f>SUMPRODUCT(G47:I47,J47:L47)</f>
        <v>0.03</v>
      </c>
      <c r="F5" s="312">
        <f>D5+E5</f>
        <v>3.3020000000000001E-2</v>
      </c>
      <c r="G5" s="313">
        <f>VLOOKUP(A5,Parameters!$A$20:$D$31,4,0)</f>
        <v>0.25</v>
      </c>
      <c r="H5" s="314">
        <v>0</v>
      </c>
      <c r="I5" s="314">
        <v>0</v>
      </c>
      <c r="J5" s="314">
        <v>0</v>
      </c>
      <c r="K5" s="314"/>
      <c r="L5" s="314"/>
      <c r="M5" s="326">
        <f>SUM(F5,H5:L5)*G5</f>
        <v>8.2550000000000002E-3</v>
      </c>
      <c r="N5" s="109"/>
      <c r="O5" s="731"/>
      <c r="P5" s="732"/>
      <c r="Q5" s="733"/>
      <c r="T5" s="726"/>
      <c r="U5" s="179"/>
    </row>
    <row r="6" spans="1:21">
      <c r="A6" s="315" t="str">
        <f t="shared" ref="A6:A16" si="1">B6&amp;C6</f>
        <v>BIBAregional</v>
      </c>
      <c r="B6" s="107" t="s">
        <v>11</v>
      </c>
      <c r="C6" s="107" t="s">
        <v>203</v>
      </c>
      <c r="D6" s="734">
        <f t="shared" si="0"/>
        <v>3.0200000000000001E-3</v>
      </c>
      <c r="E6" s="735">
        <f t="shared" ref="E6:E16" si="2">SUMPRODUCT(G48:I48,J48:L48)</f>
        <v>0.02</v>
      </c>
      <c r="F6" s="316">
        <f t="shared" ref="F6:F16" si="3">D6+E6</f>
        <v>2.3019999999999999E-2</v>
      </c>
      <c r="G6" s="317">
        <f>VLOOKUP(A6,Parameters!$A$20:$D$31,4,0)</f>
        <v>0.5</v>
      </c>
      <c r="H6" s="318">
        <v>0</v>
      </c>
      <c r="I6" s="318">
        <v>0</v>
      </c>
      <c r="J6" s="318">
        <v>0</v>
      </c>
      <c r="K6" s="318"/>
      <c r="L6" s="318"/>
      <c r="M6" s="327">
        <f t="shared" ref="M6:M16" si="4">SUM(F6,H6:L6)*G6</f>
        <v>1.1509999999999999E-2</v>
      </c>
      <c r="O6" s="731"/>
      <c r="P6" s="732"/>
      <c r="Q6" s="733"/>
      <c r="T6" s="726"/>
      <c r="U6" s="179"/>
    </row>
    <row r="7" spans="1:21">
      <c r="A7" s="315" t="str">
        <f t="shared" si="1"/>
        <v>BIBAlocal</v>
      </c>
      <c r="B7" s="107" t="s">
        <v>11</v>
      </c>
      <c r="C7" s="107" t="s">
        <v>204</v>
      </c>
      <c r="D7" s="735">
        <f t="shared" si="0"/>
        <v>3.0200000000000001E-3</v>
      </c>
      <c r="E7" s="735">
        <f t="shared" si="2"/>
        <v>0.01</v>
      </c>
      <c r="F7" s="316">
        <f t="shared" si="3"/>
        <v>1.302E-2</v>
      </c>
      <c r="G7" s="317">
        <f>VLOOKUP(A7,Parameters!$A$20:$D$31,4,0)</f>
        <v>0.25</v>
      </c>
      <c r="H7" s="318">
        <v>0</v>
      </c>
      <c r="I7" s="318">
        <v>0</v>
      </c>
      <c r="J7" s="318">
        <v>0</v>
      </c>
      <c r="K7" s="318"/>
      <c r="L7" s="318"/>
      <c r="M7" s="327">
        <f t="shared" si="4"/>
        <v>3.2550000000000001E-3</v>
      </c>
      <c r="O7" s="731"/>
      <c r="P7" s="732"/>
      <c r="Q7" s="733"/>
      <c r="T7" s="726"/>
      <c r="U7" s="179"/>
    </row>
    <row r="8" spans="1:21">
      <c r="A8" s="315" t="str">
        <f t="shared" si="1"/>
        <v>BUBAnational</v>
      </c>
      <c r="B8" s="107" t="s">
        <v>15</v>
      </c>
      <c r="C8" s="107" t="s">
        <v>205</v>
      </c>
      <c r="D8" s="735">
        <f t="shared" si="0"/>
        <v>3.0200000000000001E-3</v>
      </c>
      <c r="E8" s="735">
        <f t="shared" si="2"/>
        <v>0.03</v>
      </c>
      <c r="F8" s="316">
        <f t="shared" si="3"/>
        <v>3.3020000000000001E-2</v>
      </c>
      <c r="G8" s="317">
        <f>VLOOKUP(A8,Parameters!$A$20:$D$31,4,0)</f>
        <v>0.3</v>
      </c>
      <c r="H8" s="318">
        <v>0</v>
      </c>
      <c r="I8" s="318">
        <v>0</v>
      </c>
      <c r="J8" s="318">
        <v>0</v>
      </c>
      <c r="K8" s="318"/>
      <c r="L8" s="318"/>
      <c r="M8" s="327">
        <f t="shared" si="4"/>
        <v>9.9059999999999999E-3</v>
      </c>
      <c r="O8" s="731"/>
      <c r="P8" s="732"/>
      <c r="Q8" s="733"/>
      <c r="T8" s="726"/>
      <c r="U8" s="179"/>
    </row>
    <row r="9" spans="1:21">
      <c r="A9" s="315" t="str">
        <f t="shared" si="1"/>
        <v>BUBAregional</v>
      </c>
      <c r="B9" s="107" t="s">
        <v>15</v>
      </c>
      <c r="C9" s="107" t="s">
        <v>203</v>
      </c>
      <c r="D9" s="735">
        <f t="shared" si="0"/>
        <v>3.0200000000000001E-3</v>
      </c>
      <c r="E9" s="735">
        <f t="shared" si="2"/>
        <v>0.02</v>
      </c>
      <c r="F9" s="316">
        <f t="shared" si="3"/>
        <v>2.3019999999999999E-2</v>
      </c>
      <c r="G9" s="317">
        <f>VLOOKUP(A9,Parameters!$A$20:$D$31,4,0)</f>
        <v>0.5</v>
      </c>
      <c r="H9" s="318">
        <v>0</v>
      </c>
      <c r="I9" s="318">
        <v>0</v>
      </c>
      <c r="J9" s="318">
        <v>0</v>
      </c>
      <c r="K9" s="318"/>
      <c r="L9" s="318"/>
      <c r="M9" s="327">
        <f t="shared" si="4"/>
        <v>1.1509999999999999E-2</v>
      </c>
      <c r="O9" s="731"/>
      <c r="P9" s="732"/>
      <c r="Q9" s="733"/>
      <c r="T9" s="726"/>
      <c r="U9" s="179"/>
    </row>
    <row r="10" spans="1:21">
      <c r="A10" s="315" t="str">
        <f t="shared" si="1"/>
        <v>BUBAlocal</v>
      </c>
      <c r="B10" s="107" t="s">
        <v>15</v>
      </c>
      <c r="C10" s="107" t="s">
        <v>204</v>
      </c>
      <c r="D10" s="735">
        <f t="shared" si="0"/>
        <v>3.0200000000000001E-3</v>
      </c>
      <c r="E10" s="735">
        <f t="shared" si="2"/>
        <v>0.01</v>
      </c>
      <c r="F10" s="316">
        <f t="shared" si="3"/>
        <v>1.302E-2</v>
      </c>
      <c r="G10" s="317">
        <f>VLOOKUP(A10,Parameters!$A$20:$D$31,4,0)</f>
        <v>0.2</v>
      </c>
      <c r="H10" s="318">
        <v>0</v>
      </c>
      <c r="I10" s="318">
        <v>0</v>
      </c>
      <c r="J10" s="318">
        <v>0</v>
      </c>
      <c r="K10" s="318"/>
      <c r="L10" s="318"/>
      <c r="M10" s="327">
        <f t="shared" si="4"/>
        <v>2.6040000000000004E-3</v>
      </c>
      <c r="O10" s="731"/>
      <c r="P10" s="732"/>
      <c r="Q10" s="733"/>
      <c r="T10" s="726"/>
      <c r="U10" s="179"/>
    </row>
    <row r="11" spans="1:21">
      <c r="A11" s="315" t="str">
        <f t="shared" si="1"/>
        <v>VAMOnational</v>
      </c>
      <c r="B11" s="107" t="s">
        <v>16</v>
      </c>
      <c r="C11" s="107" t="s">
        <v>205</v>
      </c>
      <c r="D11" s="736">
        <f t="shared" si="0"/>
        <v>1.8610000000000002E-2</v>
      </c>
      <c r="E11" s="736">
        <f t="shared" si="2"/>
        <v>0.03</v>
      </c>
      <c r="F11" s="316">
        <f t="shared" si="3"/>
        <v>4.861E-2</v>
      </c>
      <c r="G11" s="317">
        <f>VLOOKUP(A11,Parameters!$A$20:$D$31,4,0)</f>
        <v>0.5</v>
      </c>
      <c r="H11" s="319">
        <f>'EDC-'!$H$200</f>
        <v>0.01</v>
      </c>
      <c r="I11" s="320">
        <f>'Gereguleerde verkeeerskosten'!$B$10/Parameters!$B$48</f>
        <v>6.3999999999999997E-5</v>
      </c>
      <c r="J11" s="320">
        <f>'Gereguleerde verkeeerskosten'!$B$11/Parameters!$B$48</f>
        <v>7.2650000000000004E-5</v>
      </c>
      <c r="K11" s="738"/>
      <c r="L11" s="739"/>
      <c r="M11" s="327">
        <f t="shared" si="4"/>
        <v>2.9373325000000002E-2</v>
      </c>
      <c r="O11" s="731"/>
      <c r="P11" s="732"/>
      <c r="Q11" s="733"/>
      <c r="T11" s="726"/>
      <c r="U11" s="179"/>
    </row>
    <row r="12" spans="1:21">
      <c r="A12" s="315" t="str">
        <f t="shared" si="1"/>
        <v>VAMOregional</v>
      </c>
      <c r="B12" s="107" t="s">
        <v>16</v>
      </c>
      <c r="C12" s="107" t="s">
        <v>203</v>
      </c>
      <c r="D12" s="736">
        <f t="shared" si="0"/>
        <v>1.8610000000000002E-2</v>
      </c>
      <c r="E12" s="736">
        <f t="shared" si="2"/>
        <v>0.02</v>
      </c>
      <c r="F12" s="316">
        <f t="shared" si="3"/>
        <v>3.8610000000000005E-2</v>
      </c>
      <c r="G12" s="317">
        <f>VLOOKUP(A12,Parameters!$A$20:$D$31,4,0)</f>
        <v>0.5</v>
      </c>
      <c r="H12" s="319">
        <f>'EDC-'!$H$200</f>
        <v>0.01</v>
      </c>
      <c r="I12" s="320">
        <f>'Gereguleerde verkeeerskosten'!$B$10/Parameters!$B$48</f>
        <v>6.3999999999999997E-5</v>
      </c>
      <c r="J12" s="320">
        <f>'Gereguleerde verkeeerskosten'!$B$11/Parameters!$B$48</f>
        <v>7.2650000000000004E-5</v>
      </c>
      <c r="K12" s="738"/>
      <c r="L12" s="739"/>
      <c r="M12" s="327">
        <f t="shared" si="4"/>
        <v>2.4373325000000005E-2</v>
      </c>
      <c r="O12" s="731"/>
      <c r="P12" s="732"/>
      <c r="Q12" s="733"/>
      <c r="T12" s="726"/>
      <c r="U12" s="179"/>
    </row>
    <row r="13" spans="1:21">
      <c r="A13" s="315" t="str">
        <f t="shared" si="1"/>
        <v>VAMOlocal</v>
      </c>
      <c r="B13" s="107" t="s">
        <v>16</v>
      </c>
      <c r="C13" s="107" t="s">
        <v>204</v>
      </c>
      <c r="D13" s="736">
        <f t="shared" si="0"/>
        <v>1.8610000000000002E-2</v>
      </c>
      <c r="E13" s="736">
        <f t="shared" si="2"/>
        <v>0.01</v>
      </c>
      <c r="F13" s="316">
        <f t="shared" si="3"/>
        <v>2.8610000000000003E-2</v>
      </c>
      <c r="G13" s="317">
        <f>VLOOKUP(A13,Parameters!$A$20:$D$31,4,0)</f>
        <v>0</v>
      </c>
      <c r="H13" s="319">
        <f>'EDC-'!$H$200</f>
        <v>0.01</v>
      </c>
      <c r="I13" s="320">
        <f>'Gereguleerde verkeeerskosten'!$B$10/Parameters!$B$48</f>
        <v>6.3999999999999997E-5</v>
      </c>
      <c r="J13" s="320">
        <f>'Gereguleerde verkeeerskosten'!$B$11/Parameters!$B$48</f>
        <v>7.2650000000000004E-5</v>
      </c>
      <c r="K13" s="738"/>
      <c r="L13" s="739"/>
      <c r="M13" s="327">
        <f t="shared" si="4"/>
        <v>0</v>
      </c>
      <c r="O13" s="731"/>
      <c r="P13" s="732"/>
      <c r="Q13" s="733"/>
      <c r="T13" s="726"/>
      <c r="U13" s="179"/>
    </row>
    <row r="14" spans="1:21">
      <c r="A14" s="315" t="str">
        <f t="shared" si="1"/>
        <v>IDDnational</v>
      </c>
      <c r="B14" s="107" t="s">
        <v>17</v>
      </c>
      <c r="C14" s="107" t="s">
        <v>205</v>
      </c>
      <c r="D14" s="735">
        <f t="shared" si="0"/>
        <v>0.1</v>
      </c>
      <c r="E14" s="735">
        <f t="shared" si="2"/>
        <v>0.03</v>
      </c>
      <c r="F14" s="316">
        <f t="shared" si="3"/>
        <v>0.13</v>
      </c>
      <c r="G14" s="317">
        <f>VLOOKUP(A14,Parameters!$A$20:$D$31,4,0)</f>
        <v>0.5</v>
      </c>
      <c r="H14" s="318">
        <v>0</v>
      </c>
      <c r="I14" s="318">
        <v>0</v>
      </c>
      <c r="J14" s="318">
        <v>0</v>
      </c>
      <c r="K14" s="739"/>
      <c r="L14" s="739"/>
      <c r="M14" s="327">
        <f t="shared" si="4"/>
        <v>6.5000000000000002E-2</v>
      </c>
      <c r="O14" s="731"/>
      <c r="P14" s="732"/>
      <c r="Q14" s="733"/>
      <c r="T14" s="726"/>
      <c r="U14" s="179"/>
    </row>
    <row r="15" spans="1:21">
      <c r="A15" s="315" t="str">
        <f t="shared" si="1"/>
        <v>IDDregional</v>
      </c>
      <c r="B15" s="107" t="s">
        <v>17</v>
      </c>
      <c r="C15" s="107" t="s">
        <v>203</v>
      </c>
      <c r="D15" s="735">
        <f t="shared" si="0"/>
        <v>0.1</v>
      </c>
      <c r="E15" s="735">
        <f t="shared" si="2"/>
        <v>0.02</v>
      </c>
      <c r="F15" s="316">
        <f>D15+E15</f>
        <v>0.12000000000000001</v>
      </c>
      <c r="G15" s="317">
        <f>VLOOKUP(A15,Parameters!$A$20:$D$31,4,0)</f>
        <v>0.5</v>
      </c>
      <c r="H15" s="318">
        <v>0</v>
      </c>
      <c r="I15" s="318">
        <v>0</v>
      </c>
      <c r="J15" s="318">
        <v>0</v>
      </c>
      <c r="K15" s="739"/>
      <c r="L15" s="739"/>
      <c r="M15" s="327">
        <f>SUM(F15,H15:L15)*G15</f>
        <v>6.0000000000000005E-2</v>
      </c>
      <c r="O15" s="731"/>
      <c r="P15" s="732"/>
      <c r="Q15" s="733"/>
      <c r="T15" s="726"/>
      <c r="U15" s="179"/>
    </row>
    <row r="16" spans="1:21">
      <c r="A16" s="130" t="str">
        <f t="shared" si="1"/>
        <v>IDDlocal</v>
      </c>
      <c r="B16" s="321" t="s">
        <v>17</v>
      </c>
      <c r="C16" s="321" t="s">
        <v>204</v>
      </c>
      <c r="D16" s="737">
        <f t="shared" si="0"/>
        <v>0.1</v>
      </c>
      <c r="E16" s="737">
        <f t="shared" si="2"/>
        <v>0.01</v>
      </c>
      <c r="F16" s="322">
        <f t="shared" si="3"/>
        <v>0.11</v>
      </c>
      <c r="G16" s="323">
        <f>VLOOKUP(A16,Parameters!$A$20:$D$31,4,0)</f>
        <v>0</v>
      </c>
      <c r="H16" s="324">
        <v>0</v>
      </c>
      <c r="I16" s="324">
        <v>0</v>
      </c>
      <c r="J16" s="324">
        <v>0</v>
      </c>
      <c r="K16" s="740"/>
      <c r="L16" s="740"/>
      <c r="M16" s="328">
        <f t="shared" si="4"/>
        <v>0</v>
      </c>
      <c r="O16" s="731"/>
      <c r="P16" s="732"/>
      <c r="Q16" s="733"/>
      <c r="T16" s="726"/>
      <c r="U16" s="179"/>
    </row>
    <row r="19" spans="1:14">
      <c r="A19" s="255"/>
      <c r="B19" s="232"/>
      <c r="C19" s="232"/>
      <c r="D19" s="232" t="s">
        <v>1135</v>
      </c>
      <c r="E19" s="232"/>
    </row>
    <row r="20" spans="1:14" ht="24.6">
      <c r="A20" s="265" t="s">
        <v>710</v>
      </c>
      <c r="B20" s="271"/>
      <c r="C20" s="271"/>
      <c r="D20" s="267" t="s">
        <v>508</v>
      </c>
      <c r="E20" s="268" t="s">
        <v>695</v>
      </c>
      <c r="F20"/>
      <c r="G20"/>
      <c r="H20"/>
      <c r="I20"/>
      <c r="J20"/>
      <c r="K20"/>
      <c r="L20"/>
      <c r="M20"/>
      <c r="N20"/>
    </row>
    <row r="21" spans="1:14" ht="14.4">
      <c r="A21" s="256" t="s">
        <v>11</v>
      </c>
      <c r="B21" s="257"/>
      <c r="C21" s="257"/>
      <c r="D21" s="258">
        <f>SUMIF($B$5:$B$16,A21,$M$5:$M$16)</f>
        <v>2.3019999999999999E-2</v>
      </c>
      <c r="E21" s="269">
        <v>0</v>
      </c>
      <c r="F21"/>
      <c r="G21"/>
      <c r="H21"/>
      <c r="I21"/>
      <c r="J21"/>
      <c r="K21"/>
      <c r="L21"/>
      <c r="M21"/>
      <c r="N21"/>
    </row>
    <row r="22" spans="1:14" ht="14.4">
      <c r="A22" s="256" t="s">
        <v>15</v>
      </c>
      <c r="B22" s="257"/>
      <c r="C22" s="257"/>
      <c r="D22" s="258">
        <f t="shared" ref="D22:D25" si="5">SUMIF($B$5:$B$16,A22,$M$5:$M$16)</f>
        <v>2.402E-2</v>
      </c>
      <c r="E22" s="269">
        <v>0</v>
      </c>
      <c r="F22"/>
      <c r="G22"/>
      <c r="H22"/>
      <c r="I22"/>
      <c r="J22"/>
      <c r="K22"/>
      <c r="L22"/>
      <c r="M22"/>
      <c r="N22"/>
    </row>
    <row r="23" spans="1:14" ht="14.4">
      <c r="A23" s="333" t="s">
        <v>871</v>
      </c>
      <c r="B23" s="257"/>
      <c r="C23" s="257"/>
      <c r="D23" s="258">
        <f>D22</f>
        <v>2.402E-2</v>
      </c>
      <c r="E23" s="269">
        <f>E22</f>
        <v>0</v>
      </c>
      <c r="F23"/>
      <c r="G23"/>
      <c r="H23"/>
      <c r="I23"/>
      <c r="J23"/>
      <c r="K23"/>
      <c r="L23"/>
      <c r="M23"/>
      <c r="N23"/>
    </row>
    <row r="24" spans="1:14" ht="14.4">
      <c r="A24" s="256" t="s">
        <v>16</v>
      </c>
      <c r="B24" s="257"/>
      <c r="C24" s="257"/>
      <c r="D24" s="258">
        <f t="shared" si="5"/>
        <v>5.3746650000000007E-2</v>
      </c>
      <c r="E24" s="269">
        <v>0</v>
      </c>
      <c r="F24"/>
      <c r="G24"/>
      <c r="H24"/>
      <c r="I24"/>
      <c r="J24"/>
      <c r="K24"/>
      <c r="L24"/>
      <c r="M24"/>
      <c r="N24"/>
    </row>
    <row r="25" spans="1:14" ht="14.4">
      <c r="A25" s="261" t="s">
        <v>17</v>
      </c>
      <c r="B25" s="262"/>
      <c r="C25" s="262"/>
      <c r="D25" s="263">
        <f t="shared" si="5"/>
        <v>0.125</v>
      </c>
      <c r="E25" s="270">
        <v>0</v>
      </c>
      <c r="F25"/>
      <c r="G25"/>
      <c r="H25"/>
      <c r="I25"/>
      <c r="J25"/>
      <c r="K25"/>
      <c r="L25"/>
      <c r="M25"/>
      <c r="N25"/>
    </row>
    <row r="26" spans="1:14" ht="14.4">
      <c r="A26" s="232"/>
      <c r="B26" s="232"/>
      <c r="C26" s="232"/>
      <c r="D26" s="232"/>
      <c r="E26" s="232"/>
      <c r="F26"/>
      <c r="G26"/>
      <c r="H26"/>
      <c r="I26"/>
      <c r="J26"/>
      <c r="K26"/>
      <c r="L26"/>
      <c r="M26"/>
      <c r="N26"/>
    </row>
    <row r="27" spans="1:14" ht="14.4">
      <c r="A27" s="232"/>
      <c r="B27" s="232"/>
      <c r="C27" s="232"/>
      <c r="D27" s="232"/>
      <c r="E27" s="232"/>
      <c r="F27"/>
      <c r="G27"/>
      <c r="H27"/>
      <c r="I27"/>
      <c r="J27"/>
      <c r="K27"/>
      <c r="L27"/>
      <c r="M27"/>
      <c r="N27"/>
    </row>
    <row r="28" spans="1:14" ht="24.6">
      <c r="A28" s="265" t="s">
        <v>681</v>
      </c>
      <c r="B28" s="266"/>
      <c r="C28" s="266" t="s">
        <v>680</v>
      </c>
      <c r="D28" s="267" t="s">
        <v>508</v>
      </c>
      <c r="E28" s="268" t="s">
        <v>695</v>
      </c>
      <c r="F28"/>
      <c r="G28"/>
      <c r="H28"/>
      <c r="I28"/>
      <c r="J28"/>
      <c r="K28"/>
      <c r="L28"/>
      <c r="M28"/>
      <c r="N28"/>
    </row>
    <row r="29" spans="1:14" ht="14.4">
      <c r="A29" s="256" t="s">
        <v>672</v>
      </c>
      <c r="B29" s="257"/>
      <c r="C29" s="257" t="s">
        <v>11</v>
      </c>
      <c r="D29" s="258">
        <f t="shared" ref="D29:E33" si="6">D21</f>
        <v>2.3019999999999999E-2</v>
      </c>
      <c r="E29" s="259">
        <f t="shared" si="6"/>
        <v>0</v>
      </c>
      <c r="F29"/>
      <c r="G29"/>
      <c r="H29"/>
      <c r="I29"/>
      <c r="J29"/>
      <c r="K29"/>
      <c r="L29"/>
      <c r="M29"/>
      <c r="N29"/>
    </row>
    <row r="30" spans="1:14" ht="14.4">
      <c r="A30" s="260" t="s">
        <v>673</v>
      </c>
      <c r="B30" s="257"/>
      <c r="C30" s="257" t="s">
        <v>15</v>
      </c>
      <c r="D30" s="258">
        <f t="shared" si="6"/>
        <v>2.402E-2</v>
      </c>
      <c r="E30" s="259">
        <f t="shared" si="6"/>
        <v>0</v>
      </c>
      <c r="F30"/>
      <c r="G30"/>
      <c r="H30"/>
      <c r="I30"/>
      <c r="J30"/>
      <c r="K30"/>
      <c r="L30"/>
      <c r="M30"/>
      <c r="N30"/>
    </row>
    <row r="31" spans="1:14" ht="14.4">
      <c r="A31" s="260" t="s">
        <v>872</v>
      </c>
      <c r="B31" s="257"/>
      <c r="C31" s="257" t="s">
        <v>871</v>
      </c>
      <c r="D31" s="258">
        <f t="shared" si="6"/>
        <v>2.402E-2</v>
      </c>
      <c r="E31" s="259">
        <f t="shared" si="6"/>
        <v>0</v>
      </c>
      <c r="F31"/>
      <c r="G31"/>
      <c r="H31"/>
      <c r="I31"/>
      <c r="J31"/>
      <c r="K31"/>
      <c r="L31"/>
      <c r="M31"/>
      <c r="N31"/>
    </row>
    <row r="32" spans="1:14" ht="14.4">
      <c r="A32" s="260" t="s">
        <v>674</v>
      </c>
      <c r="B32" s="257"/>
      <c r="C32" s="257" t="s">
        <v>16</v>
      </c>
      <c r="D32" s="258">
        <f t="shared" si="6"/>
        <v>5.3746650000000007E-2</v>
      </c>
      <c r="E32" s="259">
        <f t="shared" si="6"/>
        <v>0</v>
      </c>
      <c r="F32"/>
      <c r="G32"/>
      <c r="H32"/>
      <c r="I32"/>
      <c r="J32"/>
      <c r="K32"/>
      <c r="L32"/>
      <c r="M32"/>
      <c r="N32"/>
    </row>
    <row r="33" spans="1:14" ht="14.4">
      <c r="A33" s="260" t="s">
        <v>675</v>
      </c>
      <c r="B33" s="257"/>
      <c r="C33" s="257" t="s">
        <v>17</v>
      </c>
      <c r="D33" s="258">
        <f t="shared" si="6"/>
        <v>0.125</v>
      </c>
      <c r="E33" s="259">
        <f t="shared" si="6"/>
        <v>0</v>
      </c>
      <c r="F33"/>
      <c r="G33"/>
      <c r="H33"/>
      <c r="I33"/>
      <c r="J33"/>
      <c r="K33"/>
      <c r="L33"/>
      <c r="M33"/>
      <c r="N33"/>
    </row>
    <row r="34" spans="1:14" ht="14.4">
      <c r="A34" s="260" t="s">
        <v>676</v>
      </c>
      <c r="B34" s="257"/>
      <c r="C34" s="257" t="s">
        <v>11</v>
      </c>
      <c r="D34" s="258">
        <f t="shared" ref="D34:E38" si="7">D21</f>
        <v>2.3019999999999999E-2</v>
      </c>
      <c r="E34" s="259">
        <f t="shared" si="7"/>
        <v>0</v>
      </c>
      <c r="F34"/>
      <c r="G34"/>
      <c r="H34"/>
      <c r="I34"/>
      <c r="J34"/>
      <c r="K34"/>
      <c r="L34"/>
      <c r="M34"/>
      <c r="N34"/>
    </row>
    <row r="35" spans="1:14" ht="14.4">
      <c r="A35" s="260" t="s">
        <v>677</v>
      </c>
      <c r="B35" s="257"/>
      <c r="C35" s="257" t="s">
        <v>15</v>
      </c>
      <c r="D35" s="258">
        <f t="shared" si="7"/>
        <v>2.402E-2</v>
      </c>
      <c r="E35" s="259">
        <f t="shared" si="7"/>
        <v>0</v>
      </c>
      <c r="F35"/>
      <c r="G35"/>
      <c r="H35"/>
      <c r="I35"/>
      <c r="J35"/>
      <c r="K35"/>
      <c r="L35"/>
      <c r="M35"/>
      <c r="N35"/>
    </row>
    <row r="36" spans="1:14">
      <c r="A36" s="260" t="s">
        <v>873</v>
      </c>
      <c r="B36" s="257"/>
      <c r="C36" s="257" t="s">
        <v>871</v>
      </c>
      <c r="D36" s="258">
        <f t="shared" si="7"/>
        <v>2.402E-2</v>
      </c>
      <c r="E36" s="259">
        <f t="shared" si="7"/>
        <v>0</v>
      </c>
    </row>
    <row r="37" spans="1:14">
      <c r="A37" s="260" t="s">
        <v>678</v>
      </c>
      <c r="B37" s="257"/>
      <c r="C37" s="257" t="s">
        <v>16</v>
      </c>
      <c r="D37" s="258">
        <f t="shared" si="7"/>
        <v>5.3746650000000007E-2</v>
      </c>
      <c r="E37" s="259">
        <f t="shared" si="7"/>
        <v>0</v>
      </c>
    </row>
    <row r="38" spans="1:14">
      <c r="A38" s="261" t="s">
        <v>679</v>
      </c>
      <c r="B38" s="262"/>
      <c r="C38" s="262" t="s">
        <v>17</v>
      </c>
      <c r="D38" s="263">
        <f t="shared" si="7"/>
        <v>0.125</v>
      </c>
      <c r="E38" s="264">
        <f t="shared" si="7"/>
        <v>0</v>
      </c>
    </row>
    <row r="42" spans="1:14">
      <c r="A42" s="232" t="s">
        <v>1206</v>
      </c>
      <c r="B42" s="232"/>
      <c r="C42" s="232"/>
      <c r="D42" s="232"/>
      <c r="E42" s="232"/>
      <c r="F42" s="232"/>
      <c r="G42" s="232"/>
      <c r="H42" s="232"/>
      <c r="I42" s="232"/>
      <c r="J42" s="232"/>
      <c r="K42" s="232"/>
      <c r="L42" s="232"/>
    </row>
    <row r="43" spans="1:14">
      <c r="A43" s="232"/>
      <c r="B43" s="232"/>
      <c r="C43" s="232"/>
      <c r="D43" s="741" t="s">
        <v>1217</v>
      </c>
      <c r="E43" s="454"/>
      <c r="F43" s="742"/>
      <c r="G43" s="741" t="s">
        <v>1218</v>
      </c>
      <c r="H43" s="454"/>
      <c r="I43" s="742"/>
      <c r="J43" s="741" t="s">
        <v>1212</v>
      </c>
      <c r="K43" s="454"/>
      <c r="L43" s="742"/>
    </row>
    <row r="44" spans="1:14">
      <c r="A44" s="232"/>
      <c r="B44" s="232"/>
      <c r="C44" s="232"/>
      <c r="D44" s="743" t="s">
        <v>414</v>
      </c>
      <c r="E44" s="257"/>
      <c r="F44" s="744"/>
      <c r="G44" s="743" t="s">
        <v>1216</v>
      </c>
      <c r="H44" s="257"/>
      <c r="I44" s="745"/>
      <c r="J44" s="743" t="s">
        <v>414</v>
      </c>
      <c r="K44" s="257"/>
      <c r="L44" s="744"/>
    </row>
    <row r="45" spans="1:14">
      <c r="A45" s="743" t="s">
        <v>411</v>
      </c>
      <c r="B45" s="746" t="s">
        <v>413</v>
      </c>
      <c r="C45" s="746" t="s">
        <v>7</v>
      </c>
      <c r="D45" s="747" t="s">
        <v>9</v>
      </c>
      <c r="E45" s="748" t="s">
        <v>1207</v>
      </c>
      <c r="F45" s="749" t="s">
        <v>1208</v>
      </c>
      <c r="G45" s="747" t="s">
        <v>9</v>
      </c>
      <c r="H45" s="748" t="s">
        <v>1207</v>
      </c>
      <c r="I45" s="749" t="s">
        <v>1208</v>
      </c>
      <c r="J45" s="747" t="s">
        <v>9</v>
      </c>
      <c r="K45" s="748" t="s">
        <v>9</v>
      </c>
      <c r="L45" s="749" t="s">
        <v>1208</v>
      </c>
    </row>
    <row r="46" spans="1:14">
      <c r="A46" s="750"/>
      <c r="B46" s="751"/>
      <c r="C46" s="751"/>
      <c r="D46" s="747" t="s">
        <v>1213</v>
      </c>
      <c r="E46" s="748" t="s">
        <v>1207</v>
      </c>
      <c r="F46" s="749"/>
      <c r="G46" s="747" t="s">
        <v>1213</v>
      </c>
      <c r="H46" s="748" t="s">
        <v>1207</v>
      </c>
      <c r="I46" s="749"/>
      <c r="J46" s="747" t="s">
        <v>1213</v>
      </c>
      <c r="K46" s="748" t="s">
        <v>1207</v>
      </c>
      <c r="L46" s="749"/>
    </row>
    <row r="47" spans="1:14">
      <c r="A47" s="752" t="str">
        <f>B47&amp;C47</f>
        <v>BIBAnational</v>
      </c>
      <c r="B47" s="753" t="s">
        <v>11</v>
      </c>
      <c r="C47" s="753" t="s">
        <v>205</v>
      </c>
      <c r="D47" s="754">
        <f>'Gereguleerde verkeeerskosten'!$D$5</f>
        <v>3.0200000000000001E-3</v>
      </c>
      <c r="E47" s="771">
        <f>'Gereguleerde verkeeerskosten'!$D$5</f>
        <v>3.0200000000000001E-3</v>
      </c>
      <c r="F47" s="755">
        <f>'Gereguleerde verkeeerskosten'!$D$5</f>
        <v>3.0200000000000001E-3</v>
      </c>
      <c r="G47" s="754">
        <f>G48+'EDC minus lijst ULL'!$B$26</f>
        <v>0.03</v>
      </c>
      <c r="H47" s="771">
        <f>G47</f>
        <v>0.03</v>
      </c>
      <c r="I47" s="755">
        <f>G47</f>
        <v>0.03</v>
      </c>
      <c r="J47" s="756">
        <f>INDEX(Parameters!$D:$D,MATCH($B47&amp;"naar"&amp;J$45,Parameters!$A:$A,0))*INDEX(Parameters!$D:$D,MATCH(J$46,Parameters!$A:$A,0))</f>
        <v>0.25</v>
      </c>
      <c r="K47" s="242">
        <f>INDEX(Parameters!$D:$D,MATCH($B47&amp;"naar"&amp;K$45,Parameters!$A:$A,0))*INDEX(Parameters!$D:$D,MATCH(K$46,Parameters!$A:$A,0))</f>
        <v>0.25</v>
      </c>
      <c r="L47" s="757">
        <f>INDEX(Parameters!$D:$D,MATCH($B47&amp;"naar"&amp;L$45,Parameters!$A:$A,0))</f>
        <v>0.5</v>
      </c>
    </row>
    <row r="48" spans="1:14">
      <c r="A48" s="758" t="str">
        <f t="shared" ref="A48:A58" si="8">B48&amp;C48</f>
        <v>BIBAregional</v>
      </c>
      <c r="B48" s="759" t="s">
        <v>11</v>
      </c>
      <c r="C48" s="759" t="s">
        <v>203</v>
      </c>
      <c r="D48" s="760">
        <f>'Gereguleerde verkeeerskosten'!$D$5</f>
        <v>3.0200000000000001E-3</v>
      </c>
      <c r="E48" s="772">
        <f>'Gereguleerde verkeeerskosten'!$D$5</f>
        <v>3.0200000000000001E-3</v>
      </c>
      <c r="F48" s="761">
        <f>'Gereguleerde verkeeerskosten'!$D$5</f>
        <v>3.0200000000000001E-3</v>
      </c>
      <c r="G48" s="760">
        <f>G49+'EDC minus lijst ULL'!$B$27</f>
        <v>0.02</v>
      </c>
      <c r="H48" s="772">
        <f t="shared" ref="H48:H52" si="9">G48</f>
        <v>0.02</v>
      </c>
      <c r="I48" s="761">
        <f t="shared" ref="I48:I55" si="10">G48</f>
        <v>0.02</v>
      </c>
      <c r="J48" s="756">
        <f>INDEX(Parameters!$D:$D,MATCH($B48&amp;"naar"&amp;J$45,Parameters!$A:$A,0))*INDEX(Parameters!$D:$D,MATCH(J$46,Parameters!$A:$A,0))</f>
        <v>0.25</v>
      </c>
      <c r="K48" s="242">
        <f>INDEX(Parameters!$D:$D,MATCH($B48&amp;"naar"&amp;K$45,Parameters!$A:$A,0))*INDEX(Parameters!$D:$D,MATCH(K$46,Parameters!$A:$A,0))</f>
        <v>0.25</v>
      </c>
      <c r="L48" s="757">
        <f>INDEX(Parameters!$D:$D,MATCH($B48&amp;"naar"&amp;L$45,Parameters!$A:$A,0))</f>
        <v>0.5</v>
      </c>
    </row>
    <row r="49" spans="1:12">
      <c r="A49" s="758" t="str">
        <f t="shared" si="8"/>
        <v>BIBAlocal</v>
      </c>
      <c r="B49" s="759" t="s">
        <v>11</v>
      </c>
      <c r="C49" s="759" t="s">
        <v>204</v>
      </c>
      <c r="D49" s="760">
        <f>'Gereguleerde verkeeerskosten'!$D$5</f>
        <v>3.0200000000000001E-3</v>
      </c>
      <c r="E49" s="772">
        <f>'Gereguleerde verkeeerskosten'!$D$5</f>
        <v>3.0200000000000001E-3</v>
      </c>
      <c r="F49" s="761">
        <f>'Gereguleerde verkeeerskosten'!$D$5</f>
        <v>3.0200000000000001E-3</v>
      </c>
      <c r="G49" s="760">
        <f>'EDC minus lijst ULL'!$B$28</f>
        <v>0.01</v>
      </c>
      <c r="H49" s="772">
        <f t="shared" si="9"/>
        <v>0.01</v>
      </c>
      <c r="I49" s="761">
        <f t="shared" si="10"/>
        <v>0.01</v>
      </c>
      <c r="J49" s="756">
        <f>INDEX(Parameters!$D:$D,MATCH($B49&amp;"naar"&amp;J$45,Parameters!$A:$A,0))*INDEX(Parameters!$D:$D,MATCH(J$46,Parameters!$A:$A,0))</f>
        <v>0.25</v>
      </c>
      <c r="K49" s="242">
        <f>INDEX(Parameters!$D:$D,MATCH($B49&amp;"naar"&amp;K$45,Parameters!$A:$A,0))*INDEX(Parameters!$D:$D,MATCH(K$46,Parameters!$A:$A,0))</f>
        <v>0.25</v>
      </c>
      <c r="L49" s="757">
        <f>INDEX(Parameters!$D:$D,MATCH($B49&amp;"naar"&amp;L$45,Parameters!$A:$A,0))</f>
        <v>0.5</v>
      </c>
    </row>
    <row r="50" spans="1:12">
      <c r="A50" s="758" t="str">
        <f t="shared" si="8"/>
        <v>BUBAnational</v>
      </c>
      <c r="B50" s="759" t="s">
        <v>15</v>
      </c>
      <c r="C50" s="759" t="s">
        <v>205</v>
      </c>
      <c r="D50" s="760">
        <f>'Gereguleerde verkeeerskosten'!$D$5</f>
        <v>3.0200000000000001E-3</v>
      </c>
      <c r="E50" s="772">
        <f>'Gereguleerde verkeeerskosten'!$D$5</f>
        <v>3.0200000000000001E-3</v>
      </c>
      <c r="F50" s="761">
        <f>'Gereguleerde verkeeerskosten'!$D$5</f>
        <v>3.0200000000000001E-3</v>
      </c>
      <c r="G50" s="760">
        <f>G51+'EDC minus lijst ULL'!$B$26</f>
        <v>0.03</v>
      </c>
      <c r="H50" s="772">
        <f t="shared" si="9"/>
        <v>0.03</v>
      </c>
      <c r="I50" s="761">
        <f t="shared" si="10"/>
        <v>0.03</v>
      </c>
      <c r="J50" s="756">
        <f>INDEX(Parameters!$D:$D,MATCH($B50&amp;"naar"&amp;J$45,Parameters!$A:$A,0))*INDEX(Parameters!$D:$D,MATCH(J$46,Parameters!$A:$A,0))</f>
        <v>0.25</v>
      </c>
      <c r="K50" s="242">
        <f>INDEX(Parameters!$D:$D,MATCH($B50&amp;"naar"&amp;K$45,Parameters!$A:$A,0))*INDEX(Parameters!$D:$D,MATCH(K$46,Parameters!$A:$A,0))</f>
        <v>0.25</v>
      </c>
      <c r="L50" s="757">
        <f>INDEX(Parameters!$D:$D,MATCH($B50&amp;"naar"&amp;L$45,Parameters!$A:$A,0))</f>
        <v>0.5</v>
      </c>
    </row>
    <row r="51" spans="1:12">
      <c r="A51" s="758" t="str">
        <f t="shared" si="8"/>
        <v>BUBAregional</v>
      </c>
      <c r="B51" s="759" t="s">
        <v>15</v>
      </c>
      <c r="C51" s="759" t="s">
        <v>203</v>
      </c>
      <c r="D51" s="760">
        <f>'Gereguleerde verkeeerskosten'!$D$5</f>
        <v>3.0200000000000001E-3</v>
      </c>
      <c r="E51" s="772">
        <f>'Gereguleerde verkeeerskosten'!$D$5</f>
        <v>3.0200000000000001E-3</v>
      </c>
      <c r="F51" s="761">
        <f>'Gereguleerde verkeeerskosten'!$D$5</f>
        <v>3.0200000000000001E-3</v>
      </c>
      <c r="G51" s="760">
        <f>G52+'EDC minus lijst ULL'!$B$27</f>
        <v>0.02</v>
      </c>
      <c r="H51" s="772">
        <f t="shared" si="9"/>
        <v>0.02</v>
      </c>
      <c r="I51" s="761">
        <f t="shared" si="10"/>
        <v>0.02</v>
      </c>
      <c r="J51" s="756">
        <f>INDEX(Parameters!$D:$D,MATCH($B51&amp;"naar"&amp;J$45,Parameters!$A:$A,0))*INDEX(Parameters!$D:$D,MATCH(J$46,Parameters!$A:$A,0))</f>
        <v>0.25</v>
      </c>
      <c r="K51" s="242">
        <f>INDEX(Parameters!$D:$D,MATCH($B51&amp;"naar"&amp;K$45,Parameters!$A:$A,0))*INDEX(Parameters!$D:$D,MATCH(K$46,Parameters!$A:$A,0))</f>
        <v>0.25</v>
      </c>
      <c r="L51" s="757">
        <f>INDEX(Parameters!$D:$D,MATCH($B51&amp;"naar"&amp;L$45,Parameters!$A:$A,0))</f>
        <v>0.5</v>
      </c>
    </row>
    <row r="52" spans="1:12">
      <c r="A52" s="758" t="str">
        <f t="shared" si="8"/>
        <v>BUBAlocal</v>
      </c>
      <c r="B52" s="759" t="s">
        <v>15</v>
      </c>
      <c r="C52" s="759" t="s">
        <v>204</v>
      </c>
      <c r="D52" s="760">
        <f>'Gereguleerde verkeeerskosten'!$D$5</f>
        <v>3.0200000000000001E-3</v>
      </c>
      <c r="E52" s="772">
        <f>'Gereguleerde verkeeerskosten'!$D$5</f>
        <v>3.0200000000000001E-3</v>
      </c>
      <c r="F52" s="761">
        <f>'Gereguleerde verkeeerskosten'!$D$5</f>
        <v>3.0200000000000001E-3</v>
      </c>
      <c r="G52" s="760">
        <f>'EDC minus lijst ULL'!$B$28</f>
        <v>0.01</v>
      </c>
      <c r="H52" s="772">
        <f t="shared" si="9"/>
        <v>0.01</v>
      </c>
      <c r="I52" s="761">
        <f t="shared" si="10"/>
        <v>0.01</v>
      </c>
      <c r="J52" s="756">
        <f>INDEX(Parameters!$D:$D,MATCH($B52&amp;"naar"&amp;J$45,Parameters!$A:$A,0))*INDEX(Parameters!$D:$D,MATCH(J$46,Parameters!$A:$A,0))</f>
        <v>0.25</v>
      </c>
      <c r="K52" s="242">
        <f>INDEX(Parameters!$D:$D,MATCH($B52&amp;"naar"&amp;K$45,Parameters!$A:$A,0))*INDEX(Parameters!$D:$D,MATCH(K$46,Parameters!$A:$A,0))</f>
        <v>0.25</v>
      </c>
      <c r="L52" s="757">
        <f>INDEX(Parameters!$D:$D,MATCH($B52&amp;"naar"&amp;L$45,Parameters!$A:$A,0))</f>
        <v>0.5</v>
      </c>
    </row>
    <row r="53" spans="1:12">
      <c r="A53" s="758" t="str">
        <f t="shared" si="8"/>
        <v>VAMOnational</v>
      </c>
      <c r="B53" s="759" t="s">
        <v>16</v>
      </c>
      <c r="C53" s="759" t="s">
        <v>205</v>
      </c>
      <c r="D53" s="773">
        <f>'Gereguleerde verkeeerskosten'!$D$7</f>
        <v>1.8610000000000002E-2</v>
      </c>
      <c r="E53" s="762">
        <f>'Gereguleerde verkeeerskosten'!$D$7</f>
        <v>1.8610000000000002E-2</v>
      </c>
      <c r="F53" s="761">
        <f>'Gereguleerde verkeeerskosten'!$D$7</f>
        <v>1.8610000000000002E-2</v>
      </c>
      <c r="G53" s="760">
        <f>G54+'EDC minus lijst ULL'!$B$26</f>
        <v>0.03</v>
      </c>
      <c r="H53" s="762"/>
      <c r="I53" s="761">
        <f t="shared" si="10"/>
        <v>0.03</v>
      </c>
      <c r="J53" s="756">
        <f>INDEX(Parameters!$D:$D,MATCH($B53&amp;"naar"&amp;J$45,Parameters!$A:$A,0))</f>
        <v>0.5</v>
      </c>
      <c r="K53" s="242"/>
      <c r="L53" s="757">
        <f>INDEX(Parameters!$D:$D,MATCH($B53&amp;"naar"&amp;L$45,Parameters!$A:$A,0))</f>
        <v>0.5</v>
      </c>
    </row>
    <row r="54" spans="1:12">
      <c r="A54" s="758" t="str">
        <f t="shared" si="8"/>
        <v>VAMOregional</v>
      </c>
      <c r="B54" s="759" t="s">
        <v>16</v>
      </c>
      <c r="C54" s="759" t="s">
        <v>203</v>
      </c>
      <c r="D54" s="773">
        <f>'Gereguleerde verkeeerskosten'!$D$7</f>
        <v>1.8610000000000002E-2</v>
      </c>
      <c r="E54" s="762">
        <f>'Gereguleerde verkeeerskosten'!$D$7</f>
        <v>1.8610000000000002E-2</v>
      </c>
      <c r="F54" s="761">
        <f>'Gereguleerde verkeeerskosten'!$D$7</f>
        <v>1.8610000000000002E-2</v>
      </c>
      <c r="G54" s="760">
        <f>G55+'EDC minus lijst ULL'!$B$27</f>
        <v>0.02</v>
      </c>
      <c r="H54" s="762"/>
      <c r="I54" s="761">
        <f t="shared" si="10"/>
        <v>0.02</v>
      </c>
      <c r="J54" s="756">
        <f>INDEX(Parameters!$D:$D,MATCH($B54&amp;"naar"&amp;J$45,Parameters!$A:$A,0))</f>
        <v>0.5</v>
      </c>
      <c r="K54" s="242"/>
      <c r="L54" s="757">
        <f>INDEX(Parameters!$D:$D,MATCH($B54&amp;"naar"&amp;L$45,Parameters!$A:$A,0))</f>
        <v>0.5</v>
      </c>
    </row>
    <row r="55" spans="1:12">
      <c r="A55" s="758" t="str">
        <f t="shared" si="8"/>
        <v>VAMOlocal</v>
      </c>
      <c r="B55" s="759" t="s">
        <v>16</v>
      </c>
      <c r="C55" s="759" t="s">
        <v>204</v>
      </c>
      <c r="D55" s="773">
        <f>'Gereguleerde verkeeerskosten'!$D$7</f>
        <v>1.8610000000000002E-2</v>
      </c>
      <c r="E55" s="762">
        <f>'Gereguleerde verkeeerskosten'!$D$7</f>
        <v>1.8610000000000002E-2</v>
      </c>
      <c r="F55" s="761">
        <f>'Gereguleerde verkeeerskosten'!$D$7</f>
        <v>1.8610000000000002E-2</v>
      </c>
      <c r="G55" s="760">
        <f>'EDC minus lijst ULL'!$B$28</f>
        <v>0.01</v>
      </c>
      <c r="H55" s="762"/>
      <c r="I55" s="761">
        <f t="shared" si="10"/>
        <v>0.01</v>
      </c>
      <c r="J55" s="756">
        <f>INDEX(Parameters!$D:$D,MATCH($B55&amp;"naar"&amp;J$45,Parameters!$A:$A,0))</f>
        <v>0.5</v>
      </c>
      <c r="K55" s="242"/>
      <c r="L55" s="757">
        <f>INDEX(Parameters!$D:$D,MATCH($B55&amp;"naar"&amp;L$45,Parameters!$A:$A,0))</f>
        <v>0.5</v>
      </c>
    </row>
    <row r="56" spans="1:12">
      <c r="A56" s="758" t="str">
        <f t="shared" si="8"/>
        <v>IDDnational</v>
      </c>
      <c r="B56" s="759" t="s">
        <v>17</v>
      </c>
      <c r="C56" s="759" t="s">
        <v>205</v>
      </c>
      <c r="D56" s="760">
        <f>Parameters!$B$50</f>
        <v>0.1</v>
      </c>
      <c r="E56" s="763"/>
      <c r="F56" s="764"/>
      <c r="G56" s="760">
        <f>G57+'EDC minus lijst ULL'!$B$26</f>
        <v>0.03</v>
      </c>
      <c r="H56" s="763"/>
      <c r="I56" s="764"/>
      <c r="J56" s="756">
        <v>1</v>
      </c>
      <c r="K56" s="257"/>
      <c r="L56" s="744"/>
    </row>
    <row r="57" spans="1:12">
      <c r="A57" s="758" t="str">
        <f t="shared" si="8"/>
        <v>IDDregional</v>
      </c>
      <c r="B57" s="759" t="s">
        <v>17</v>
      </c>
      <c r="C57" s="759" t="s">
        <v>203</v>
      </c>
      <c r="D57" s="760">
        <f>Parameters!$B$50</f>
        <v>0.1</v>
      </c>
      <c r="E57" s="763"/>
      <c r="F57" s="764"/>
      <c r="G57" s="760">
        <f>G58+'EDC minus lijst ULL'!$B$27</f>
        <v>0.02</v>
      </c>
      <c r="H57" s="763"/>
      <c r="I57" s="764"/>
      <c r="J57" s="756">
        <v>1</v>
      </c>
      <c r="K57" s="257"/>
      <c r="L57" s="744"/>
    </row>
    <row r="58" spans="1:12">
      <c r="A58" s="261" t="str">
        <f t="shared" si="8"/>
        <v>IDDlocal</v>
      </c>
      <c r="B58" s="765" t="s">
        <v>17</v>
      </c>
      <c r="C58" s="765" t="s">
        <v>204</v>
      </c>
      <c r="D58" s="766">
        <f>Parameters!$B$50</f>
        <v>0.1</v>
      </c>
      <c r="E58" s="767"/>
      <c r="F58" s="768"/>
      <c r="G58" s="766">
        <f>'EDC minus lijst ULL'!$B$28</f>
        <v>0.01</v>
      </c>
      <c r="H58" s="767"/>
      <c r="I58" s="768"/>
      <c r="J58" s="769">
        <v>1</v>
      </c>
      <c r="K58" s="262"/>
      <c r="L58" s="770"/>
    </row>
    <row r="61" spans="1:12" ht="14.4">
      <c r="H61" s="1039"/>
      <c r="I61" s="1040"/>
    </row>
  </sheetData>
  <mergeCells count="1">
    <mergeCell ref="H61:I61"/>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6"/>
  <dimension ref="A1:D11"/>
  <sheetViews>
    <sheetView workbookViewId="0">
      <selection activeCell="A9" sqref="A9"/>
    </sheetView>
  </sheetViews>
  <sheetFormatPr defaultColWidth="9.109375" defaultRowHeight="12"/>
  <cols>
    <col min="1" max="1" width="37.5546875" style="4" bestFit="1" customWidth="1"/>
    <col min="2" max="2" width="13" style="4" customWidth="1"/>
    <col min="3" max="16384" width="9.109375" style="4"/>
  </cols>
  <sheetData>
    <row r="1" spans="1:4">
      <c r="A1" s="4" t="s">
        <v>1294</v>
      </c>
    </row>
    <row r="2" spans="1:4">
      <c r="A2" s="4" t="s">
        <v>410</v>
      </c>
    </row>
    <row r="4" spans="1:4">
      <c r="A4" s="9" t="s">
        <v>418</v>
      </c>
      <c r="B4" s="9" t="s">
        <v>408</v>
      </c>
      <c r="C4" s="9" t="s">
        <v>419</v>
      </c>
      <c r="D4" s="9" t="s">
        <v>409</v>
      </c>
    </row>
    <row r="5" spans="1:4">
      <c r="A5" s="12" t="s">
        <v>416</v>
      </c>
      <c r="B5" s="12" t="s">
        <v>406</v>
      </c>
      <c r="C5" s="12" t="s">
        <v>203</v>
      </c>
      <c r="D5" s="117">
        <v>3.0200000000000001E-3</v>
      </c>
    </row>
    <row r="6" spans="1:4">
      <c r="A6" s="12" t="s">
        <v>416</v>
      </c>
      <c r="B6" s="12" t="s">
        <v>407</v>
      </c>
      <c r="C6" s="12" t="s">
        <v>203</v>
      </c>
      <c r="D6" s="1105">
        <v>8.0800000000000004E-3</v>
      </c>
    </row>
    <row r="7" spans="1:4">
      <c r="A7" s="12" t="s">
        <v>417</v>
      </c>
      <c r="B7" s="12" t="s">
        <v>420</v>
      </c>
      <c r="C7" s="12" t="s">
        <v>420</v>
      </c>
      <c r="D7" s="306">
        <v>1.8610000000000002E-2</v>
      </c>
    </row>
    <row r="10" spans="1:4">
      <c r="A10" s="12" t="s">
        <v>421</v>
      </c>
      <c r="B10" s="291">
        <v>64</v>
      </c>
      <c r="C10" s="4" t="s">
        <v>428</v>
      </c>
    </row>
    <row r="11" spans="1:4">
      <c r="A11" s="12" t="s">
        <v>422</v>
      </c>
      <c r="B11" s="1106">
        <v>72.650000000000006</v>
      </c>
      <c r="C11" s="4" t="s">
        <v>428</v>
      </c>
    </row>
  </sheetData>
  <pageMargins left="0.7" right="0.7" top="0.75" bottom="0.75" header="0.3" footer="0.3"/>
  <pageSetup paperSize="9" orientation="portrait" r:id="rId1"/>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dimension ref="A1:O298"/>
  <sheetViews>
    <sheetView topLeftCell="C29" workbookViewId="0">
      <selection activeCell="F220" sqref="F220"/>
    </sheetView>
  </sheetViews>
  <sheetFormatPr defaultColWidth="9.109375" defaultRowHeight="12"/>
  <cols>
    <col min="1" max="1" width="4.109375" style="4" customWidth="1"/>
    <col min="2" max="3" width="12.33203125" style="4" customWidth="1"/>
    <col min="4" max="4" width="46.44140625" style="4" customWidth="1"/>
    <col min="5" max="5" width="16.44140625" style="4" bestFit="1" customWidth="1"/>
    <col min="6" max="6" width="21.44140625" style="4" bestFit="1" customWidth="1"/>
    <col min="7" max="7" width="21" style="4" bestFit="1" customWidth="1"/>
    <col min="8" max="8" width="29.33203125" style="4" bestFit="1" customWidth="1"/>
    <col min="9" max="9" width="22.6640625" style="4" bestFit="1" customWidth="1"/>
    <col min="10" max="13" width="12.33203125" style="4" customWidth="1"/>
    <col min="14" max="16384" width="9.109375" style="4"/>
  </cols>
  <sheetData>
    <row r="1" spans="1:15">
      <c r="A1" s="16"/>
      <c r="B1" s="17"/>
      <c r="C1" s="16"/>
      <c r="D1" s="18"/>
      <c r="E1" s="18"/>
      <c r="F1" s="19"/>
      <c r="G1" s="16"/>
      <c r="H1" s="16" t="s">
        <v>21</v>
      </c>
      <c r="I1" s="16"/>
      <c r="J1" s="20"/>
      <c r="K1" s="20"/>
      <c r="L1" s="20"/>
      <c r="M1" s="20"/>
      <c r="N1" s="21" t="s">
        <v>22</v>
      </c>
      <c r="O1" s="22"/>
    </row>
    <row r="2" spans="1:15">
      <c r="A2" s="16"/>
      <c r="B2" s="23" t="s">
        <v>23</v>
      </c>
      <c r="C2" s="16"/>
      <c r="D2" s="24"/>
      <c r="E2" s="24"/>
      <c r="F2" s="25" t="s">
        <v>24</v>
      </c>
      <c r="G2" s="24" t="s">
        <v>25</v>
      </c>
      <c r="H2" s="16" t="s">
        <v>26</v>
      </c>
      <c r="I2" s="16"/>
      <c r="J2" s="20"/>
      <c r="K2" s="20"/>
      <c r="L2" s="20"/>
      <c r="M2" s="20"/>
    </row>
    <row r="3" spans="1:15">
      <c r="A3" s="16"/>
      <c r="B3" s="17"/>
      <c r="C3" s="16"/>
      <c r="D3" s="18"/>
      <c r="E3" s="18"/>
      <c r="F3" s="19"/>
      <c r="G3" s="16"/>
      <c r="H3" s="16" t="s">
        <v>27</v>
      </c>
      <c r="I3" s="16"/>
      <c r="J3" s="20"/>
      <c r="K3" s="20"/>
      <c r="L3" s="20"/>
      <c r="M3" s="20"/>
    </row>
    <row r="4" spans="1:15">
      <c r="A4" s="26"/>
      <c r="B4" s="27"/>
      <c r="C4" s="26"/>
      <c r="D4" s="28"/>
      <c r="E4" s="28"/>
      <c r="F4" s="29"/>
      <c r="G4" s="26"/>
      <c r="H4" s="16" t="s">
        <v>28</v>
      </c>
      <c r="I4" s="26"/>
      <c r="J4" s="20"/>
      <c r="K4" s="20"/>
      <c r="L4" s="20"/>
      <c r="M4" s="20"/>
    </row>
    <row r="5" spans="1:15">
      <c r="A5" s="30"/>
      <c r="B5" s="31"/>
      <c r="C5" s="30"/>
      <c r="D5" s="32"/>
      <c r="E5" s="30"/>
      <c r="F5" s="30"/>
      <c r="G5" s="30"/>
      <c r="H5" s="33"/>
      <c r="I5" s="30"/>
      <c r="J5" s="20"/>
      <c r="K5" s="20"/>
      <c r="L5" s="20"/>
      <c r="M5" s="20"/>
    </row>
    <row r="6" spans="1:15">
      <c r="A6" s="30"/>
      <c r="B6" s="34"/>
      <c r="C6" s="30"/>
      <c r="D6" s="30"/>
      <c r="E6" s="30"/>
      <c r="F6" s="30"/>
      <c r="G6" s="30"/>
      <c r="H6" s="33" t="s">
        <v>29</v>
      </c>
      <c r="I6" s="33"/>
      <c r="J6" s="20"/>
      <c r="K6" s="20"/>
      <c r="L6" s="20"/>
      <c r="M6" s="20"/>
    </row>
    <row r="7" spans="1:15">
      <c r="A7" s="35"/>
      <c r="B7" s="35"/>
      <c r="C7" s="35"/>
      <c r="D7" s="36" t="s">
        <v>30</v>
      </c>
      <c r="E7" s="36"/>
      <c r="F7" s="37"/>
      <c r="G7" s="37"/>
      <c r="H7" s="37"/>
      <c r="I7" s="35"/>
      <c r="J7" s="20"/>
      <c r="K7" s="20"/>
      <c r="L7" s="20"/>
      <c r="M7" s="20"/>
    </row>
    <row r="8" spans="1:15">
      <c r="A8" s="20"/>
      <c r="B8" s="38"/>
      <c r="C8" s="20"/>
      <c r="D8" s="39"/>
      <c r="E8" s="39"/>
      <c r="F8" s="40"/>
      <c r="G8" s="41"/>
      <c r="H8" s="41"/>
      <c r="I8" s="20"/>
      <c r="J8" s="20"/>
      <c r="K8" s="20"/>
      <c r="L8" s="20"/>
      <c r="M8" s="20"/>
    </row>
    <row r="9" spans="1:15">
      <c r="A9" s="20"/>
      <c r="B9" s="38"/>
      <c r="C9" s="20"/>
      <c r="D9" s="36" t="s">
        <v>31</v>
      </c>
      <c r="E9" s="42" t="s">
        <v>32</v>
      </c>
      <c r="F9" s="43" t="s">
        <v>33</v>
      </c>
      <c r="G9" s="44"/>
      <c r="H9" s="44"/>
      <c r="I9" s="20"/>
      <c r="J9" s="41"/>
      <c r="K9" s="20"/>
      <c r="L9" s="20"/>
      <c r="M9" s="20"/>
    </row>
    <row r="10" spans="1:15">
      <c r="A10" s="20"/>
      <c r="B10" s="38"/>
      <c r="C10" s="20"/>
      <c r="D10" s="45" t="s">
        <v>34</v>
      </c>
      <c r="E10" s="45" t="s">
        <v>35</v>
      </c>
      <c r="F10" s="46" t="s">
        <v>36</v>
      </c>
      <c r="G10" s="47" t="s">
        <v>37</v>
      </c>
      <c r="H10" s="836">
        <v>1</v>
      </c>
      <c r="I10" s="41" t="s">
        <v>38</v>
      </c>
      <c r="J10" s="20"/>
      <c r="K10" s="20"/>
      <c r="L10" s="20"/>
      <c r="M10" s="20"/>
    </row>
    <row r="11" spans="1:15">
      <c r="A11" s="20"/>
      <c r="B11" s="38"/>
      <c r="C11" s="20"/>
      <c r="D11" s="45" t="s">
        <v>34</v>
      </c>
      <c r="E11" s="45"/>
      <c r="F11" s="46" t="s">
        <v>39</v>
      </c>
      <c r="G11" s="47" t="s">
        <v>37</v>
      </c>
      <c r="H11" s="836">
        <v>1</v>
      </c>
      <c r="I11" s="41" t="s">
        <v>38</v>
      </c>
      <c r="J11" s="20"/>
      <c r="K11" s="20"/>
      <c r="L11" s="20"/>
      <c r="M11" s="20"/>
    </row>
    <row r="12" spans="1:15">
      <c r="A12" s="20"/>
      <c r="B12" s="38"/>
      <c r="C12" s="20"/>
      <c r="D12" s="45" t="s">
        <v>40</v>
      </c>
      <c r="E12" s="45"/>
      <c r="F12" s="46" t="s">
        <v>36</v>
      </c>
      <c r="G12" s="47" t="s">
        <v>37</v>
      </c>
      <c r="H12" s="836">
        <v>1</v>
      </c>
      <c r="I12" s="41" t="s">
        <v>41</v>
      </c>
      <c r="J12" s="20"/>
      <c r="K12" s="20"/>
      <c r="L12" s="20"/>
      <c r="M12" s="20"/>
    </row>
    <row r="13" spans="1:15">
      <c r="A13" s="20"/>
      <c r="B13" s="38"/>
      <c r="C13" s="20"/>
      <c r="D13" s="45" t="s">
        <v>40</v>
      </c>
      <c r="E13" s="45"/>
      <c r="F13" s="46" t="s">
        <v>39</v>
      </c>
      <c r="G13" s="47" t="s">
        <v>37</v>
      </c>
      <c r="H13" s="836">
        <v>1</v>
      </c>
      <c r="I13" s="41" t="s">
        <v>41</v>
      </c>
      <c r="J13" s="48"/>
      <c r="K13" s="48"/>
      <c r="L13" s="48"/>
      <c r="M13" s="48"/>
    </row>
    <row r="14" spans="1:15">
      <c r="A14" s="20"/>
      <c r="B14" s="38"/>
      <c r="C14" s="20"/>
      <c r="D14" s="45" t="s">
        <v>42</v>
      </c>
      <c r="E14" s="45" t="s">
        <v>35</v>
      </c>
      <c r="F14" s="46" t="s">
        <v>43</v>
      </c>
      <c r="G14" s="47" t="s">
        <v>37</v>
      </c>
      <c r="H14" s="836">
        <v>1</v>
      </c>
      <c r="I14" s="41" t="s">
        <v>38</v>
      </c>
      <c r="J14" s="20"/>
      <c r="K14" s="20"/>
      <c r="L14" s="20"/>
      <c r="M14" s="20"/>
    </row>
    <row r="15" spans="1:15">
      <c r="A15" s="20"/>
      <c r="B15" s="38"/>
      <c r="C15" s="20"/>
      <c r="D15" s="45" t="s">
        <v>44</v>
      </c>
      <c r="E15" s="45" t="s">
        <v>45</v>
      </c>
      <c r="F15" s="46" t="s">
        <v>43</v>
      </c>
      <c r="G15" s="47" t="s">
        <v>37</v>
      </c>
      <c r="H15" s="836">
        <v>1</v>
      </c>
      <c r="I15" s="41" t="s">
        <v>38</v>
      </c>
      <c r="J15" s="20"/>
      <c r="K15" s="20"/>
      <c r="L15" s="20"/>
      <c r="M15" s="20"/>
    </row>
    <row r="16" spans="1:15">
      <c r="A16" s="20"/>
      <c r="B16" s="38"/>
      <c r="C16" s="20"/>
      <c r="D16" s="45" t="s">
        <v>46</v>
      </c>
      <c r="E16" s="45" t="s">
        <v>47</v>
      </c>
      <c r="F16" s="46" t="s">
        <v>43</v>
      </c>
      <c r="G16" s="49" t="s">
        <v>48</v>
      </c>
      <c r="H16" s="836">
        <v>1</v>
      </c>
      <c r="I16" s="41" t="s">
        <v>38</v>
      </c>
      <c r="J16" s="20"/>
      <c r="K16" s="20"/>
      <c r="L16" s="20"/>
      <c r="M16" s="20"/>
    </row>
    <row r="17" spans="1:13">
      <c r="A17" s="20"/>
      <c r="B17" s="38"/>
      <c r="C17" s="20"/>
      <c r="D17" s="50" t="s">
        <v>49</v>
      </c>
      <c r="E17" s="45" t="s">
        <v>50</v>
      </c>
      <c r="F17" s="46"/>
      <c r="G17" s="49" t="s">
        <v>48</v>
      </c>
      <c r="H17" s="837">
        <v>1</v>
      </c>
      <c r="I17" s="41" t="s">
        <v>38</v>
      </c>
      <c r="J17" s="20"/>
      <c r="K17" s="20"/>
      <c r="L17" s="20"/>
      <c r="M17" s="20"/>
    </row>
    <row r="18" spans="1:13">
      <c r="A18" s="20"/>
      <c r="B18" s="38"/>
      <c r="C18" s="20"/>
      <c r="D18" s="50" t="s">
        <v>51</v>
      </c>
      <c r="E18" s="45" t="s">
        <v>52</v>
      </c>
      <c r="F18" s="46" t="s">
        <v>43</v>
      </c>
      <c r="G18" s="49" t="s">
        <v>48</v>
      </c>
      <c r="H18" s="837">
        <v>1</v>
      </c>
      <c r="I18" s="41" t="s">
        <v>41</v>
      </c>
      <c r="J18" s="41"/>
      <c r="K18" s="20"/>
      <c r="L18" s="20"/>
      <c r="M18" s="20"/>
    </row>
    <row r="19" spans="1:13">
      <c r="A19" s="20"/>
      <c r="B19" s="38"/>
      <c r="C19" s="20"/>
      <c r="D19" s="51"/>
      <c r="E19" s="51"/>
      <c r="F19" s="52"/>
      <c r="G19" s="41"/>
      <c r="H19" s="41"/>
      <c r="I19" s="41"/>
      <c r="J19" s="41"/>
      <c r="K19" s="20"/>
      <c r="L19" s="20"/>
      <c r="M19" s="20"/>
    </row>
    <row r="20" spans="1:13">
      <c r="A20" s="20"/>
      <c r="B20" s="38"/>
      <c r="C20" s="20"/>
      <c r="D20" s="36" t="s">
        <v>53</v>
      </c>
      <c r="E20" s="42" t="s">
        <v>32</v>
      </c>
      <c r="F20" s="43" t="s">
        <v>33</v>
      </c>
      <c r="G20" s="44"/>
      <c r="H20" s="44"/>
      <c r="I20" s="20"/>
      <c r="J20" s="41"/>
      <c r="K20" s="20"/>
      <c r="L20" s="20"/>
      <c r="M20" s="20"/>
    </row>
    <row r="21" spans="1:13">
      <c r="A21" s="20"/>
      <c r="B21" s="38"/>
      <c r="C21" s="20"/>
      <c r="D21" s="45" t="s">
        <v>54</v>
      </c>
      <c r="E21" s="45" t="s">
        <v>35</v>
      </c>
      <c r="F21" s="46" t="s">
        <v>36</v>
      </c>
      <c r="G21" s="53" t="s">
        <v>55</v>
      </c>
      <c r="H21" s="53" t="s">
        <v>56</v>
      </c>
      <c r="I21" s="41" t="s">
        <v>38</v>
      </c>
      <c r="J21" s="20"/>
      <c r="K21" s="20"/>
      <c r="L21" s="20"/>
      <c r="M21" s="20"/>
    </row>
    <row r="22" spans="1:13">
      <c r="A22" s="20"/>
      <c r="B22" s="38"/>
      <c r="C22" s="20"/>
      <c r="D22" s="45" t="s">
        <v>54</v>
      </c>
      <c r="E22" s="45"/>
      <c r="F22" s="46" t="s">
        <v>39</v>
      </c>
      <c r="G22" s="53" t="s">
        <v>55</v>
      </c>
      <c r="H22" s="53" t="s">
        <v>56</v>
      </c>
      <c r="I22" s="41" t="s">
        <v>38</v>
      </c>
      <c r="J22" s="20"/>
      <c r="K22" s="20"/>
      <c r="L22" s="20"/>
      <c r="M22" s="20"/>
    </row>
    <row r="23" spans="1:13">
      <c r="A23" s="20"/>
      <c r="B23" s="38"/>
      <c r="C23" s="20"/>
      <c r="D23" s="45" t="s">
        <v>57</v>
      </c>
      <c r="E23" s="45" t="s">
        <v>35</v>
      </c>
      <c r="F23" s="46" t="s">
        <v>36</v>
      </c>
      <c r="G23" s="53" t="s">
        <v>55</v>
      </c>
      <c r="H23" s="53" t="s">
        <v>56</v>
      </c>
      <c r="I23" s="41" t="s">
        <v>38</v>
      </c>
      <c r="J23" s="20"/>
      <c r="K23" s="20"/>
      <c r="L23" s="20"/>
      <c r="M23" s="20"/>
    </row>
    <row r="24" spans="1:13">
      <c r="A24" s="20"/>
      <c r="B24" s="38"/>
      <c r="C24" s="20"/>
      <c r="D24" s="45" t="s">
        <v>57</v>
      </c>
      <c r="E24" s="45"/>
      <c r="F24" s="46" t="s">
        <v>39</v>
      </c>
      <c r="G24" s="53" t="s">
        <v>55</v>
      </c>
      <c r="H24" s="53" t="s">
        <v>56</v>
      </c>
      <c r="I24" s="41" t="s">
        <v>38</v>
      </c>
      <c r="J24" s="20"/>
      <c r="K24" s="20"/>
      <c r="L24" s="20"/>
      <c r="M24" s="20"/>
    </row>
    <row r="25" spans="1:13">
      <c r="A25" s="20"/>
      <c r="B25" s="38"/>
      <c r="C25" s="20"/>
      <c r="D25" s="45" t="s">
        <v>42</v>
      </c>
      <c r="E25" s="45" t="s">
        <v>35</v>
      </c>
      <c r="F25" s="46" t="s">
        <v>58</v>
      </c>
      <c r="G25" s="53" t="s">
        <v>55</v>
      </c>
      <c r="H25" s="838">
        <v>1</v>
      </c>
      <c r="I25" s="41" t="s">
        <v>38</v>
      </c>
      <c r="J25" s="20"/>
      <c r="K25" s="20"/>
      <c r="L25" s="20"/>
      <c r="M25" s="20"/>
    </row>
    <row r="26" spans="1:13">
      <c r="A26" s="20"/>
      <c r="B26" s="38"/>
      <c r="C26" s="20"/>
      <c r="D26" s="45" t="s">
        <v>46</v>
      </c>
      <c r="E26" s="45" t="s">
        <v>47</v>
      </c>
      <c r="F26" s="46" t="s">
        <v>58</v>
      </c>
      <c r="G26" s="49" t="s">
        <v>48</v>
      </c>
      <c r="H26" s="838">
        <v>1</v>
      </c>
      <c r="I26" s="41" t="s">
        <v>38</v>
      </c>
      <c r="J26" s="20"/>
      <c r="K26" s="20"/>
      <c r="L26" s="20"/>
      <c r="M26" s="20"/>
    </row>
    <row r="27" spans="1:13">
      <c r="A27" s="20"/>
      <c r="B27" s="38"/>
      <c r="C27" s="20"/>
      <c r="D27" s="45" t="s">
        <v>59</v>
      </c>
      <c r="E27" s="45"/>
      <c r="F27" s="46" t="s">
        <v>60</v>
      </c>
      <c r="G27" s="53" t="s">
        <v>55</v>
      </c>
      <c r="H27" s="838">
        <v>1</v>
      </c>
      <c r="I27" s="41" t="s">
        <v>38</v>
      </c>
      <c r="J27" s="20"/>
      <c r="K27" s="20"/>
      <c r="L27" s="20"/>
      <c r="M27" s="20"/>
    </row>
    <row r="28" spans="1:13">
      <c r="A28" s="20"/>
      <c r="B28" s="38"/>
      <c r="C28" s="20"/>
      <c r="D28" s="50" t="s">
        <v>49</v>
      </c>
      <c r="E28" s="45" t="s">
        <v>50</v>
      </c>
      <c r="F28" s="46"/>
      <c r="G28" s="49" t="s">
        <v>48</v>
      </c>
      <c r="H28" s="838">
        <v>1</v>
      </c>
      <c r="I28" s="41" t="s">
        <v>38</v>
      </c>
      <c r="J28" s="20"/>
      <c r="K28" s="20"/>
      <c r="L28" s="20"/>
      <c r="M28" s="20"/>
    </row>
    <row r="29" spans="1:13">
      <c r="A29" s="20"/>
      <c r="B29" s="38"/>
      <c r="C29" s="20"/>
      <c r="D29" s="50" t="s">
        <v>51</v>
      </c>
      <c r="E29" s="45" t="s">
        <v>52</v>
      </c>
      <c r="F29" s="46" t="s">
        <v>43</v>
      </c>
      <c r="G29" s="49" t="s">
        <v>48</v>
      </c>
      <c r="H29" s="838">
        <v>1</v>
      </c>
      <c r="I29" s="41" t="s">
        <v>41</v>
      </c>
      <c r="J29" s="20"/>
      <c r="K29" s="20"/>
      <c r="L29" s="20"/>
      <c r="M29" s="20"/>
    </row>
    <row r="30" spans="1:13">
      <c r="A30" s="20"/>
      <c r="B30" s="38"/>
      <c r="C30" s="20"/>
      <c r="D30" s="20"/>
      <c r="E30" s="20"/>
      <c r="F30" s="52"/>
      <c r="G30" s="41"/>
      <c r="H30" s="41"/>
      <c r="I30" s="41"/>
      <c r="J30" s="20"/>
      <c r="K30" s="20"/>
      <c r="L30" s="20"/>
      <c r="M30" s="20"/>
    </row>
    <row r="31" spans="1:13">
      <c r="A31" s="20"/>
      <c r="B31" s="38"/>
      <c r="C31" s="20"/>
      <c r="D31" s="54" t="s">
        <v>61</v>
      </c>
      <c r="E31" s="20"/>
      <c r="F31" s="52"/>
      <c r="G31" s="41"/>
      <c r="H31" s="41"/>
      <c r="I31" s="41"/>
      <c r="J31" s="20"/>
      <c r="K31" s="20"/>
      <c r="L31" s="20"/>
      <c r="M31" s="20"/>
    </row>
    <row r="32" spans="1:13">
      <c r="A32" s="20"/>
      <c r="B32" s="38"/>
      <c r="C32" s="20"/>
      <c r="D32" s="20"/>
      <c r="E32" s="20"/>
      <c r="F32" s="52"/>
      <c r="G32" s="41"/>
      <c r="H32" s="41"/>
      <c r="I32" s="41"/>
      <c r="J32" s="20"/>
      <c r="K32" s="20"/>
      <c r="L32" s="20"/>
      <c r="M32" s="20"/>
    </row>
    <row r="33" spans="1:13">
      <c r="A33" s="20"/>
      <c r="B33" s="38"/>
      <c r="C33" s="20"/>
      <c r="D33" s="36" t="s">
        <v>62</v>
      </c>
      <c r="E33" s="55"/>
      <c r="F33" s="56"/>
      <c r="G33" s="57"/>
      <c r="H33" s="58" t="s">
        <v>63</v>
      </c>
      <c r="I33" s="58" t="s">
        <v>64</v>
      </c>
      <c r="J33" s="59" t="s">
        <v>65</v>
      </c>
      <c r="K33" s="59" t="s">
        <v>66</v>
      </c>
      <c r="L33" s="59" t="s">
        <v>67</v>
      </c>
      <c r="M33" s="58" t="s">
        <v>68</v>
      </c>
    </row>
    <row r="34" spans="1:13">
      <c r="A34" s="20"/>
      <c r="B34" s="38"/>
      <c r="C34" s="20"/>
      <c r="D34" s="45" t="s">
        <v>6</v>
      </c>
      <c r="E34" s="45"/>
      <c r="F34" s="46" t="s">
        <v>36</v>
      </c>
      <c r="G34" s="53" t="s">
        <v>55</v>
      </c>
      <c r="H34" s="60"/>
      <c r="I34" s="60"/>
      <c r="J34" s="60"/>
      <c r="K34" s="60"/>
      <c r="L34" s="60"/>
      <c r="M34" s="60"/>
    </row>
    <row r="35" spans="1:13">
      <c r="A35" s="20"/>
      <c r="B35" s="38"/>
      <c r="C35" s="20"/>
      <c r="D35" s="45" t="s">
        <v>69</v>
      </c>
      <c r="E35" s="45"/>
      <c r="F35" s="46" t="s">
        <v>36</v>
      </c>
      <c r="G35" s="53" t="s">
        <v>55</v>
      </c>
      <c r="H35" s="60"/>
      <c r="I35" s="60"/>
      <c r="J35" s="60"/>
      <c r="K35" s="60"/>
      <c r="L35" s="60"/>
      <c r="M35" s="60"/>
    </row>
    <row r="36" spans="1:13">
      <c r="A36" s="20"/>
      <c r="B36" s="38"/>
      <c r="C36" s="20"/>
      <c r="D36" s="45" t="s">
        <v>70</v>
      </c>
      <c r="E36" s="45"/>
      <c r="F36" s="46" t="s">
        <v>36</v>
      </c>
      <c r="G36" s="53" t="s">
        <v>55</v>
      </c>
      <c r="H36" s="60"/>
      <c r="I36" s="60"/>
      <c r="J36" s="60"/>
      <c r="K36" s="60"/>
      <c r="L36" s="60"/>
      <c r="M36" s="60"/>
    </row>
    <row r="37" spans="1:13">
      <c r="A37" s="20"/>
      <c r="B37" s="38"/>
      <c r="C37" s="20"/>
      <c r="D37" s="45" t="s">
        <v>71</v>
      </c>
      <c r="E37" s="45"/>
      <c r="F37" s="46" t="s">
        <v>36</v>
      </c>
      <c r="G37" s="53" t="s">
        <v>55</v>
      </c>
      <c r="H37" s="60"/>
      <c r="I37" s="60"/>
      <c r="J37" s="60"/>
      <c r="K37" s="60"/>
      <c r="L37" s="60"/>
      <c r="M37" s="60"/>
    </row>
    <row r="38" spans="1:13">
      <c r="A38" s="20"/>
      <c r="B38" s="38"/>
      <c r="C38" s="20"/>
      <c r="D38" s="45" t="s">
        <v>72</v>
      </c>
      <c r="E38" s="45"/>
      <c r="F38" s="46" t="s">
        <v>36</v>
      </c>
      <c r="G38" s="53" t="s">
        <v>55</v>
      </c>
      <c r="H38" s="60"/>
      <c r="I38" s="60"/>
      <c r="J38" s="60"/>
      <c r="K38" s="60"/>
      <c r="L38" s="60"/>
      <c r="M38" s="60"/>
    </row>
    <row r="39" spans="1:13">
      <c r="A39" s="20"/>
      <c r="B39" s="38"/>
      <c r="C39" s="20"/>
      <c r="D39" s="45" t="s">
        <v>73</v>
      </c>
      <c r="E39" s="45"/>
      <c r="F39" s="46" t="s">
        <v>36</v>
      </c>
      <c r="G39" s="53" t="s">
        <v>55</v>
      </c>
      <c r="H39" s="60"/>
      <c r="I39" s="60"/>
      <c r="J39" s="60"/>
      <c r="K39" s="60"/>
      <c r="L39" s="60"/>
      <c r="M39" s="60"/>
    </row>
    <row r="40" spans="1:13">
      <c r="A40" s="20"/>
      <c r="B40" s="38"/>
      <c r="C40" s="20"/>
      <c r="D40" s="45" t="s">
        <v>74</v>
      </c>
      <c r="E40" s="45"/>
      <c r="F40" s="46" t="s">
        <v>36</v>
      </c>
      <c r="G40" s="53" t="s">
        <v>55</v>
      </c>
      <c r="H40" s="60"/>
      <c r="I40" s="60"/>
      <c r="J40" s="60"/>
      <c r="K40" s="60"/>
      <c r="L40" s="60"/>
      <c r="M40" s="60"/>
    </row>
    <row r="41" spans="1:13">
      <c r="A41" s="20"/>
      <c r="B41" s="38"/>
      <c r="C41" s="20"/>
      <c r="D41" s="45" t="s">
        <v>75</v>
      </c>
      <c r="E41" s="45"/>
      <c r="F41" s="46" t="s">
        <v>36</v>
      </c>
      <c r="G41" s="53" t="s">
        <v>55</v>
      </c>
      <c r="H41" s="60"/>
      <c r="I41" s="60"/>
      <c r="J41" s="60"/>
      <c r="K41" s="60"/>
      <c r="L41" s="60"/>
      <c r="M41" s="60"/>
    </row>
    <row r="42" spans="1:13">
      <c r="A42" s="20"/>
      <c r="B42" s="38"/>
      <c r="C42" s="20"/>
      <c r="D42" s="45" t="s">
        <v>76</v>
      </c>
      <c r="E42" s="45"/>
      <c r="F42" s="46" t="s">
        <v>36</v>
      </c>
      <c r="G42" s="53" t="s">
        <v>55</v>
      </c>
      <c r="H42" s="60"/>
      <c r="I42" s="60"/>
      <c r="J42" s="60"/>
      <c r="K42" s="60"/>
      <c r="L42" s="60"/>
      <c r="M42" s="60"/>
    </row>
    <row r="43" spans="1:13">
      <c r="A43" s="20"/>
      <c r="B43" s="38"/>
      <c r="C43" s="20"/>
      <c r="D43" s="45" t="s">
        <v>77</v>
      </c>
      <c r="E43" s="45"/>
      <c r="F43" s="46" t="s">
        <v>36</v>
      </c>
      <c r="G43" s="53" t="s">
        <v>55</v>
      </c>
      <c r="H43" s="60"/>
      <c r="I43" s="60"/>
      <c r="J43" s="60"/>
      <c r="K43" s="60"/>
      <c r="L43" s="60"/>
      <c r="M43" s="60"/>
    </row>
    <row r="44" spans="1:13">
      <c r="A44" s="20"/>
      <c r="B44" s="38"/>
      <c r="C44" s="20"/>
      <c r="D44" s="45" t="s">
        <v>78</v>
      </c>
      <c r="E44" s="45"/>
      <c r="F44" s="46" t="s">
        <v>36</v>
      </c>
      <c r="G44" s="53" t="s">
        <v>55</v>
      </c>
      <c r="H44" s="60"/>
      <c r="I44" s="60"/>
      <c r="J44" s="60"/>
      <c r="K44" s="60"/>
      <c r="L44" s="60"/>
      <c r="M44" s="60"/>
    </row>
    <row r="45" spans="1:13">
      <c r="A45" s="20"/>
      <c r="B45" s="38"/>
      <c r="C45" s="20"/>
      <c r="D45" s="45" t="s">
        <v>79</v>
      </c>
      <c r="E45" s="45"/>
      <c r="F45" s="46" t="s">
        <v>36</v>
      </c>
      <c r="G45" s="53" t="s">
        <v>55</v>
      </c>
      <c r="H45" s="60"/>
      <c r="I45" s="60"/>
      <c r="J45" s="60"/>
      <c r="K45" s="60"/>
      <c r="L45" s="60"/>
      <c r="M45" s="60"/>
    </row>
    <row r="46" spans="1:13">
      <c r="A46" s="20"/>
      <c r="B46" s="38"/>
      <c r="C46" s="20"/>
      <c r="D46" s="45" t="s">
        <v>80</v>
      </c>
      <c r="E46" s="45"/>
      <c r="F46" s="46" t="s">
        <v>36</v>
      </c>
      <c r="G46" s="53" t="s">
        <v>55</v>
      </c>
      <c r="H46" s="60"/>
      <c r="I46" s="60"/>
      <c r="J46" s="60"/>
      <c r="K46" s="60"/>
      <c r="L46" s="60"/>
      <c r="M46" s="60"/>
    </row>
    <row r="47" spans="1:13">
      <c r="A47" s="20"/>
      <c r="B47" s="38"/>
      <c r="C47" s="20"/>
      <c r="D47" s="45" t="s">
        <v>81</v>
      </c>
      <c r="E47" s="45"/>
      <c r="F47" s="46" t="s">
        <v>36</v>
      </c>
      <c r="G47" s="53" t="s">
        <v>55</v>
      </c>
      <c r="H47" s="60"/>
      <c r="I47" s="60"/>
      <c r="J47" s="60"/>
      <c r="K47" s="60"/>
      <c r="L47" s="60"/>
      <c r="M47" s="60"/>
    </row>
    <row r="48" spans="1:13">
      <c r="A48" s="20"/>
      <c r="B48" s="38"/>
      <c r="C48" s="20"/>
      <c r="D48" s="45" t="s">
        <v>82</v>
      </c>
      <c r="E48" s="45"/>
      <c r="F48" s="46" t="s">
        <v>36</v>
      </c>
      <c r="G48" s="53" t="s">
        <v>55</v>
      </c>
      <c r="H48" s="60"/>
      <c r="I48" s="60"/>
      <c r="J48" s="60"/>
      <c r="K48" s="60"/>
      <c r="L48" s="60"/>
      <c r="M48" s="60"/>
    </row>
    <row r="49" spans="1:13">
      <c r="A49" s="20"/>
      <c r="B49" s="38"/>
      <c r="C49" s="20"/>
      <c r="D49" s="45" t="s">
        <v>83</v>
      </c>
      <c r="E49" s="45"/>
      <c r="F49" s="46" t="s">
        <v>36</v>
      </c>
      <c r="G49" s="53" t="s">
        <v>55</v>
      </c>
      <c r="H49" s="60"/>
      <c r="I49" s="60"/>
      <c r="J49" s="60"/>
      <c r="K49" s="60"/>
      <c r="L49" s="60"/>
      <c r="M49" s="60"/>
    </row>
    <row r="50" spans="1:13">
      <c r="A50" s="20"/>
      <c r="B50" s="38"/>
      <c r="C50" s="20"/>
      <c r="D50" s="45" t="s">
        <v>84</v>
      </c>
      <c r="E50" s="45"/>
      <c r="F50" s="46" t="s">
        <v>36</v>
      </c>
      <c r="G50" s="53" t="s">
        <v>55</v>
      </c>
      <c r="H50" s="60"/>
      <c r="I50" s="60"/>
      <c r="J50" s="60"/>
      <c r="K50" s="60"/>
      <c r="L50" s="60"/>
      <c r="M50" s="60"/>
    </row>
    <row r="51" spans="1:13">
      <c r="A51" s="20"/>
      <c r="B51" s="38"/>
      <c r="C51" s="20"/>
      <c r="D51" s="45" t="s">
        <v>85</v>
      </c>
      <c r="E51" s="45"/>
      <c r="F51" s="46" t="s">
        <v>36</v>
      </c>
      <c r="G51" s="53" t="s">
        <v>55</v>
      </c>
      <c r="H51" s="60"/>
      <c r="I51" s="60"/>
      <c r="J51" s="60"/>
      <c r="K51" s="60"/>
      <c r="L51" s="60"/>
      <c r="M51" s="60"/>
    </row>
    <row r="52" spans="1:13">
      <c r="A52" s="20"/>
      <c r="B52" s="38"/>
      <c r="C52" s="20"/>
      <c r="D52" s="45" t="s">
        <v>86</v>
      </c>
      <c r="E52" s="45"/>
      <c r="F52" s="46" t="s">
        <v>36</v>
      </c>
      <c r="G52" s="53" t="s">
        <v>55</v>
      </c>
      <c r="H52" s="60"/>
      <c r="I52" s="60"/>
      <c r="J52" s="60"/>
      <c r="K52" s="60"/>
      <c r="L52" s="60"/>
      <c r="M52" s="60"/>
    </row>
    <row r="53" spans="1:13">
      <c r="A53" s="20"/>
      <c r="B53" s="38"/>
      <c r="C53" s="20"/>
      <c r="D53" s="45"/>
      <c r="E53" s="45"/>
      <c r="F53" s="61"/>
      <c r="G53" s="45"/>
      <c r="H53" s="62"/>
      <c r="I53" s="62"/>
      <c r="J53" s="63"/>
      <c r="K53" s="63"/>
      <c r="L53" s="63"/>
      <c r="M53" s="63"/>
    </row>
    <row r="54" spans="1:13">
      <c r="A54" s="20"/>
      <c r="B54" s="38"/>
      <c r="C54" s="20"/>
      <c r="D54" s="45" t="s">
        <v>6</v>
      </c>
      <c r="E54" s="45"/>
      <c r="F54" s="46" t="s">
        <v>39</v>
      </c>
      <c r="G54" s="53" t="s">
        <v>55</v>
      </c>
      <c r="H54" s="839">
        <v>1</v>
      </c>
      <c r="I54" s="839">
        <v>1</v>
      </c>
      <c r="J54" s="839">
        <v>1</v>
      </c>
      <c r="K54" s="839">
        <v>1</v>
      </c>
      <c r="L54" s="839">
        <v>1</v>
      </c>
      <c r="M54" s="839"/>
    </row>
    <row r="55" spans="1:13">
      <c r="A55" s="20"/>
      <c r="B55" s="38"/>
      <c r="C55" s="20"/>
      <c r="D55" s="45" t="s">
        <v>69</v>
      </c>
      <c r="E55" s="45"/>
      <c r="F55" s="46" t="s">
        <v>39</v>
      </c>
      <c r="G55" s="53" t="s">
        <v>55</v>
      </c>
      <c r="H55" s="839">
        <v>1</v>
      </c>
      <c r="I55" s="839"/>
      <c r="J55" s="839"/>
      <c r="K55" s="839"/>
      <c r="L55" s="839"/>
      <c r="M55" s="839"/>
    </row>
    <row r="56" spans="1:13">
      <c r="A56" s="20"/>
      <c r="B56" s="38"/>
      <c r="C56" s="20"/>
      <c r="D56" s="45" t="s">
        <v>70</v>
      </c>
      <c r="E56" s="45"/>
      <c r="F56" s="46" t="s">
        <v>39</v>
      </c>
      <c r="G56" s="53" t="s">
        <v>55</v>
      </c>
      <c r="H56" s="839">
        <v>1</v>
      </c>
      <c r="I56" s="839"/>
      <c r="J56" s="839"/>
      <c r="K56" s="839"/>
      <c r="L56" s="839"/>
      <c r="M56" s="839"/>
    </row>
    <row r="57" spans="1:13">
      <c r="A57" s="20"/>
      <c r="B57" s="38"/>
      <c r="C57" s="20"/>
      <c r="D57" s="45" t="s">
        <v>71</v>
      </c>
      <c r="E57" s="45"/>
      <c r="F57" s="46" t="s">
        <v>39</v>
      </c>
      <c r="G57" s="53" t="s">
        <v>55</v>
      </c>
      <c r="H57" s="839">
        <v>1</v>
      </c>
      <c r="I57" s="839">
        <v>1</v>
      </c>
      <c r="J57" s="839">
        <v>1</v>
      </c>
      <c r="K57" s="839">
        <v>1</v>
      </c>
      <c r="L57" s="839">
        <v>1</v>
      </c>
      <c r="M57" s="839">
        <v>1</v>
      </c>
    </row>
    <row r="58" spans="1:13">
      <c r="A58" s="20"/>
      <c r="B58" s="38"/>
      <c r="C58" s="20"/>
      <c r="D58" s="45" t="s">
        <v>72</v>
      </c>
      <c r="E58" s="45"/>
      <c r="F58" s="46" t="s">
        <v>39</v>
      </c>
      <c r="G58" s="53" t="s">
        <v>55</v>
      </c>
      <c r="H58" s="839">
        <v>1</v>
      </c>
      <c r="I58" s="839"/>
      <c r="J58" s="839"/>
      <c r="K58" s="839"/>
      <c r="L58" s="839"/>
      <c r="M58" s="839"/>
    </row>
    <row r="59" spans="1:13">
      <c r="A59" s="20"/>
      <c r="B59" s="38"/>
      <c r="C59" s="20"/>
      <c r="D59" s="45" t="s">
        <v>73</v>
      </c>
      <c r="E59" s="45"/>
      <c r="F59" s="46" t="s">
        <v>39</v>
      </c>
      <c r="G59" s="53" t="s">
        <v>55</v>
      </c>
      <c r="H59" s="839">
        <v>1</v>
      </c>
      <c r="I59" s="839"/>
      <c r="J59" s="839"/>
      <c r="K59" s="839"/>
      <c r="L59" s="839"/>
      <c r="M59" s="839"/>
    </row>
    <row r="60" spans="1:13">
      <c r="A60" s="20"/>
      <c r="B60" s="38"/>
      <c r="C60" s="20"/>
      <c r="D60" s="45" t="s">
        <v>74</v>
      </c>
      <c r="E60" s="45"/>
      <c r="F60" s="46" t="s">
        <v>39</v>
      </c>
      <c r="G60" s="53" t="s">
        <v>55</v>
      </c>
      <c r="H60" s="839">
        <v>1</v>
      </c>
      <c r="I60" s="839">
        <v>1</v>
      </c>
      <c r="J60" s="839">
        <v>1</v>
      </c>
      <c r="K60" s="839">
        <v>1</v>
      </c>
      <c r="L60" s="839">
        <v>1</v>
      </c>
      <c r="M60" s="839"/>
    </row>
    <row r="61" spans="1:13">
      <c r="A61" s="20"/>
      <c r="B61" s="38"/>
      <c r="C61" s="20"/>
      <c r="D61" s="45" t="s">
        <v>75</v>
      </c>
      <c r="E61" s="45"/>
      <c r="F61" s="46" t="s">
        <v>39</v>
      </c>
      <c r="G61" s="53" t="s">
        <v>55</v>
      </c>
      <c r="H61" s="839">
        <v>1</v>
      </c>
      <c r="I61" s="839">
        <v>1</v>
      </c>
      <c r="J61" s="839">
        <v>1</v>
      </c>
      <c r="K61" s="839">
        <v>1</v>
      </c>
      <c r="L61" s="839">
        <v>1</v>
      </c>
      <c r="M61" s="839">
        <v>1</v>
      </c>
    </row>
    <row r="62" spans="1:13">
      <c r="A62" s="20"/>
      <c r="B62" s="38"/>
      <c r="C62" s="20"/>
      <c r="D62" s="45" t="s">
        <v>76</v>
      </c>
      <c r="E62" s="45"/>
      <c r="F62" s="46" t="s">
        <v>39</v>
      </c>
      <c r="G62" s="53" t="s">
        <v>55</v>
      </c>
      <c r="H62" s="839">
        <v>1</v>
      </c>
      <c r="I62" s="839">
        <v>1</v>
      </c>
      <c r="J62" s="839">
        <v>1</v>
      </c>
      <c r="K62" s="839">
        <v>1</v>
      </c>
      <c r="L62" s="839">
        <v>1</v>
      </c>
      <c r="M62" s="839">
        <v>0</v>
      </c>
    </row>
    <row r="63" spans="1:13">
      <c r="A63" s="20"/>
      <c r="B63" s="38"/>
      <c r="C63" s="20"/>
      <c r="D63" s="45" t="s">
        <v>77</v>
      </c>
      <c r="E63" s="45"/>
      <c r="F63" s="46" t="s">
        <v>39</v>
      </c>
      <c r="G63" s="53" t="s">
        <v>55</v>
      </c>
      <c r="H63" s="839">
        <v>1</v>
      </c>
      <c r="I63" s="839">
        <v>1</v>
      </c>
      <c r="J63" s="839">
        <v>1</v>
      </c>
      <c r="K63" s="839">
        <v>1</v>
      </c>
      <c r="L63" s="839">
        <v>1</v>
      </c>
      <c r="M63" s="839">
        <v>1</v>
      </c>
    </row>
    <row r="64" spans="1:13">
      <c r="A64" s="20"/>
      <c r="B64" s="38"/>
      <c r="C64" s="20"/>
      <c r="D64" s="45" t="s">
        <v>78</v>
      </c>
      <c r="E64" s="45"/>
      <c r="F64" s="46" t="s">
        <v>39</v>
      </c>
      <c r="G64" s="53" t="s">
        <v>55</v>
      </c>
      <c r="H64" s="839">
        <v>1</v>
      </c>
      <c r="I64" s="839">
        <v>1</v>
      </c>
      <c r="J64" s="839">
        <v>1</v>
      </c>
      <c r="K64" s="839">
        <v>1</v>
      </c>
      <c r="L64" s="839">
        <v>1</v>
      </c>
      <c r="M64" s="839"/>
    </row>
    <row r="65" spans="1:13">
      <c r="A65" s="20"/>
      <c r="B65" s="38"/>
      <c r="C65" s="20"/>
      <c r="D65" s="45" t="s">
        <v>79</v>
      </c>
      <c r="E65" s="45"/>
      <c r="F65" s="46" t="s">
        <v>39</v>
      </c>
      <c r="G65" s="53" t="s">
        <v>55</v>
      </c>
      <c r="H65" s="839">
        <v>1</v>
      </c>
      <c r="I65" s="839"/>
      <c r="J65" s="839"/>
      <c r="K65" s="839"/>
      <c r="L65" s="839"/>
      <c r="M65" s="839"/>
    </row>
    <row r="66" spans="1:13">
      <c r="A66" s="20"/>
      <c r="B66" s="38"/>
      <c r="C66" s="20"/>
      <c r="D66" s="45" t="s">
        <v>80</v>
      </c>
      <c r="E66" s="45"/>
      <c r="F66" s="46" t="s">
        <v>39</v>
      </c>
      <c r="G66" s="53" t="s">
        <v>55</v>
      </c>
      <c r="H66" s="839">
        <v>1</v>
      </c>
      <c r="I66" s="839">
        <v>1</v>
      </c>
      <c r="J66" s="839">
        <v>1</v>
      </c>
      <c r="K66" s="839">
        <v>1</v>
      </c>
      <c r="L66" s="839">
        <v>1</v>
      </c>
      <c r="M66" s="839"/>
    </row>
    <row r="67" spans="1:13">
      <c r="A67" s="20"/>
      <c r="B67" s="38"/>
      <c r="C67" s="20"/>
      <c r="D67" s="45" t="s">
        <v>81</v>
      </c>
      <c r="E67" s="45"/>
      <c r="F67" s="46" t="s">
        <v>39</v>
      </c>
      <c r="G67" s="53" t="s">
        <v>55</v>
      </c>
      <c r="H67" s="839">
        <v>1</v>
      </c>
      <c r="I67" s="839">
        <v>1</v>
      </c>
      <c r="J67" s="839">
        <v>1</v>
      </c>
      <c r="K67" s="839">
        <v>1</v>
      </c>
      <c r="L67" s="839">
        <v>1</v>
      </c>
      <c r="M67" s="839">
        <v>1</v>
      </c>
    </row>
    <row r="68" spans="1:13">
      <c r="A68" s="20"/>
      <c r="B68" s="38"/>
      <c r="C68" s="20"/>
      <c r="D68" s="45" t="s">
        <v>82</v>
      </c>
      <c r="E68" s="45"/>
      <c r="F68" s="46" t="s">
        <v>39</v>
      </c>
      <c r="G68" s="53" t="s">
        <v>55</v>
      </c>
      <c r="H68" s="839">
        <v>1</v>
      </c>
      <c r="I68" s="839">
        <v>1</v>
      </c>
      <c r="J68" s="839">
        <v>1</v>
      </c>
      <c r="K68" s="839">
        <v>1</v>
      </c>
      <c r="L68" s="839">
        <v>1</v>
      </c>
      <c r="M68" s="839"/>
    </row>
    <row r="69" spans="1:13">
      <c r="A69" s="20"/>
      <c r="B69" s="38"/>
      <c r="C69" s="20"/>
      <c r="D69" s="45" t="s">
        <v>83</v>
      </c>
      <c r="E69" s="45"/>
      <c r="F69" s="46" t="s">
        <v>39</v>
      </c>
      <c r="G69" s="53" t="s">
        <v>55</v>
      </c>
      <c r="H69" s="839">
        <v>1</v>
      </c>
      <c r="I69" s="839">
        <v>1</v>
      </c>
      <c r="J69" s="839">
        <v>1</v>
      </c>
      <c r="K69" s="839">
        <v>1</v>
      </c>
      <c r="L69" s="839">
        <v>1</v>
      </c>
      <c r="M69" s="839"/>
    </row>
    <row r="70" spans="1:13">
      <c r="A70" s="20"/>
      <c r="B70" s="38"/>
      <c r="C70" s="20"/>
      <c r="D70" s="45" t="s">
        <v>84</v>
      </c>
      <c r="E70" s="45"/>
      <c r="F70" s="46" t="s">
        <v>39</v>
      </c>
      <c r="G70" s="53" t="s">
        <v>55</v>
      </c>
      <c r="H70" s="839"/>
      <c r="I70" s="839"/>
      <c r="J70" s="839">
        <v>1</v>
      </c>
      <c r="K70" s="839">
        <v>1</v>
      </c>
      <c r="L70" s="839">
        <v>1</v>
      </c>
      <c r="M70" s="839">
        <v>1</v>
      </c>
    </row>
    <row r="71" spans="1:13">
      <c r="A71" s="20"/>
      <c r="B71" s="38"/>
      <c r="C71" s="20"/>
      <c r="D71" s="45" t="s">
        <v>85</v>
      </c>
      <c r="E71" s="45"/>
      <c r="F71" s="46" t="s">
        <v>39</v>
      </c>
      <c r="G71" s="53" t="s">
        <v>55</v>
      </c>
      <c r="H71" s="839"/>
      <c r="I71" s="839"/>
      <c r="J71" s="839">
        <v>1</v>
      </c>
      <c r="K71" s="839">
        <v>1</v>
      </c>
      <c r="L71" s="839">
        <v>1</v>
      </c>
      <c r="M71" s="839">
        <v>1</v>
      </c>
    </row>
    <row r="72" spans="1:13">
      <c r="A72" s="20"/>
      <c r="B72" s="38"/>
      <c r="C72" s="20"/>
      <c r="D72" s="45" t="s">
        <v>86</v>
      </c>
      <c r="E72" s="45"/>
      <c r="F72" s="46" t="s">
        <v>39</v>
      </c>
      <c r="G72" s="53" t="s">
        <v>55</v>
      </c>
      <c r="H72" s="839"/>
      <c r="I72" s="839"/>
      <c r="J72" s="839">
        <v>1</v>
      </c>
      <c r="K72" s="839">
        <v>1</v>
      </c>
      <c r="L72" s="839">
        <v>1</v>
      </c>
      <c r="M72" s="839">
        <v>1</v>
      </c>
    </row>
    <row r="73" spans="1:13">
      <c r="A73" s="20"/>
      <c r="B73" s="38"/>
      <c r="C73" s="20"/>
      <c r="D73" s="45"/>
      <c r="E73" s="45"/>
      <c r="F73" s="61"/>
      <c r="G73" s="45"/>
      <c r="H73" s="840"/>
      <c r="I73" s="840"/>
      <c r="J73" s="841"/>
      <c r="K73" s="841"/>
      <c r="L73" s="841"/>
      <c r="M73" s="841"/>
    </row>
    <row r="74" spans="1:13">
      <c r="A74" s="20"/>
      <c r="B74" s="38"/>
      <c r="C74" s="20"/>
      <c r="D74" s="45" t="s">
        <v>6</v>
      </c>
      <c r="E74" s="45"/>
      <c r="F74" s="46" t="s">
        <v>87</v>
      </c>
      <c r="G74" s="53" t="s">
        <v>55</v>
      </c>
      <c r="H74" s="839">
        <v>1</v>
      </c>
      <c r="I74" s="839">
        <v>1</v>
      </c>
      <c r="J74" s="839">
        <v>1</v>
      </c>
      <c r="K74" s="839">
        <v>1</v>
      </c>
      <c r="L74" s="839">
        <v>1</v>
      </c>
      <c r="M74" s="839"/>
    </row>
    <row r="75" spans="1:13">
      <c r="A75" s="20"/>
      <c r="B75" s="38"/>
      <c r="C75" s="20"/>
      <c r="D75" s="45" t="s">
        <v>69</v>
      </c>
      <c r="E75" s="45"/>
      <c r="F75" s="46" t="s">
        <v>87</v>
      </c>
      <c r="G75" s="53" t="s">
        <v>55</v>
      </c>
      <c r="H75" s="839">
        <v>1</v>
      </c>
      <c r="I75" s="839"/>
      <c r="J75" s="839"/>
      <c r="K75" s="839"/>
      <c r="L75" s="839"/>
      <c r="M75" s="839"/>
    </row>
    <row r="76" spans="1:13">
      <c r="A76" s="20"/>
      <c r="B76" s="38"/>
      <c r="C76" s="20"/>
      <c r="D76" s="45" t="s">
        <v>70</v>
      </c>
      <c r="E76" s="45"/>
      <c r="F76" s="46" t="s">
        <v>87</v>
      </c>
      <c r="G76" s="53" t="s">
        <v>55</v>
      </c>
      <c r="H76" s="839">
        <v>1</v>
      </c>
      <c r="I76" s="839"/>
      <c r="J76" s="839"/>
      <c r="K76" s="839"/>
      <c r="L76" s="839"/>
      <c r="M76" s="839"/>
    </row>
    <row r="77" spans="1:13">
      <c r="A77" s="20"/>
      <c r="B77" s="38"/>
      <c r="C77" s="20"/>
      <c r="D77" s="45" t="s">
        <v>71</v>
      </c>
      <c r="E77" s="45"/>
      <c r="F77" s="46" t="s">
        <v>87</v>
      </c>
      <c r="G77" s="53" t="s">
        <v>55</v>
      </c>
      <c r="H77" s="839">
        <v>1</v>
      </c>
      <c r="I77" s="839">
        <v>1</v>
      </c>
      <c r="J77" s="839">
        <v>1</v>
      </c>
      <c r="K77" s="839">
        <v>1</v>
      </c>
      <c r="L77" s="839">
        <v>1</v>
      </c>
      <c r="M77" s="839">
        <v>1</v>
      </c>
    </row>
    <row r="78" spans="1:13">
      <c r="A78" s="20"/>
      <c r="B78" s="38"/>
      <c r="C78" s="20"/>
      <c r="D78" s="45" t="s">
        <v>72</v>
      </c>
      <c r="E78" s="45"/>
      <c r="F78" s="46" t="s">
        <v>87</v>
      </c>
      <c r="G78" s="53" t="s">
        <v>55</v>
      </c>
      <c r="H78" s="839">
        <v>1</v>
      </c>
      <c r="I78" s="839"/>
      <c r="J78" s="839"/>
      <c r="K78" s="839"/>
      <c r="L78" s="839"/>
      <c r="M78" s="839"/>
    </row>
    <row r="79" spans="1:13">
      <c r="A79" s="20"/>
      <c r="B79" s="38"/>
      <c r="C79" s="20"/>
      <c r="D79" s="45" t="s">
        <v>73</v>
      </c>
      <c r="E79" s="45"/>
      <c r="F79" s="46" t="s">
        <v>87</v>
      </c>
      <c r="G79" s="53" t="s">
        <v>55</v>
      </c>
      <c r="H79" s="839">
        <v>1</v>
      </c>
      <c r="I79" s="839"/>
      <c r="J79" s="839"/>
      <c r="K79" s="839"/>
      <c r="L79" s="839"/>
      <c r="M79" s="839"/>
    </row>
    <row r="80" spans="1:13">
      <c r="A80" s="20"/>
      <c r="B80" s="38"/>
      <c r="C80" s="20"/>
      <c r="D80" s="45" t="s">
        <v>74</v>
      </c>
      <c r="E80" s="45"/>
      <c r="F80" s="46" t="s">
        <v>87</v>
      </c>
      <c r="G80" s="53" t="s">
        <v>55</v>
      </c>
      <c r="H80" s="839">
        <v>1</v>
      </c>
      <c r="I80" s="839">
        <v>1</v>
      </c>
      <c r="J80" s="839">
        <v>1</v>
      </c>
      <c r="K80" s="839">
        <v>1</v>
      </c>
      <c r="L80" s="839">
        <v>1</v>
      </c>
      <c r="M80" s="839"/>
    </row>
    <row r="81" spans="1:13">
      <c r="A81" s="20"/>
      <c r="B81" s="38"/>
      <c r="C81" s="20"/>
      <c r="D81" s="45" t="s">
        <v>75</v>
      </c>
      <c r="E81" s="45"/>
      <c r="F81" s="46" t="s">
        <v>87</v>
      </c>
      <c r="G81" s="53" t="s">
        <v>55</v>
      </c>
      <c r="H81" s="839">
        <v>1</v>
      </c>
      <c r="I81" s="839">
        <v>1</v>
      </c>
      <c r="J81" s="839">
        <v>1</v>
      </c>
      <c r="K81" s="839">
        <v>1</v>
      </c>
      <c r="L81" s="839">
        <v>1</v>
      </c>
      <c r="M81" s="839">
        <v>1</v>
      </c>
    </row>
    <row r="82" spans="1:13">
      <c r="A82" s="20"/>
      <c r="B82" s="38"/>
      <c r="C82" s="20"/>
      <c r="D82" s="45" t="s">
        <v>76</v>
      </c>
      <c r="E82" s="45"/>
      <c r="F82" s="46" t="s">
        <v>87</v>
      </c>
      <c r="G82" s="53" t="s">
        <v>55</v>
      </c>
      <c r="H82" s="839">
        <v>1</v>
      </c>
      <c r="I82" s="839">
        <v>1</v>
      </c>
      <c r="J82" s="839">
        <v>1</v>
      </c>
      <c r="K82" s="839">
        <v>1</v>
      </c>
      <c r="L82" s="839">
        <v>1</v>
      </c>
      <c r="M82" s="839">
        <v>0</v>
      </c>
    </row>
    <row r="83" spans="1:13">
      <c r="A83" s="20"/>
      <c r="B83" s="38"/>
      <c r="C83" s="20"/>
      <c r="D83" s="45" t="s">
        <v>77</v>
      </c>
      <c r="E83" s="45"/>
      <c r="F83" s="46" t="s">
        <v>87</v>
      </c>
      <c r="G83" s="53" t="s">
        <v>55</v>
      </c>
      <c r="H83" s="839">
        <v>1</v>
      </c>
      <c r="I83" s="839">
        <v>1</v>
      </c>
      <c r="J83" s="839">
        <v>1</v>
      </c>
      <c r="K83" s="839">
        <v>1</v>
      </c>
      <c r="L83" s="839">
        <v>1</v>
      </c>
      <c r="M83" s="839">
        <v>1</v>
      </c>
    </row>
    <row r="84" spans="1:13">
      <c r="A84" s="20"/>
      <c r="B84" s="38"/>
      <c r="C84" s="20"/>
      <c r="D84" s="45" t="s">
        <v>78</v>
      </c>
      <c r="E84" s="45"/>
      <c r="F84" s="46" t="s">
        <v>87</v>
      </c>
      <c r="G84" s="53" t="s">
        <v>55</v>
      </c>
      <c r="H84" s="839">
        <v>1</v>
      </c>
      <c r="I84" s="839">
        <v>1</v>
      </c>
      <c r="J84" s="839">
        <v>1</v>
      </c>
      <c r="K84" s="839">
        <v>1</v>
      </c>
      <c r="L84" s="839">
        <v>1</v>
      </c>
      <c r="M84" s="839"/>
    </row>
    <row r="85" spans="1:13">
      <c r="A85" s="20"/>
      <c r="B85" s="38"/>
      <c r="C85" s="20"/>
      <c r="D85" s="45" t="s">
        <v>79</v>
      </c>
      <c r="E85" s="45"/>
      <c r="F85" s="46" t="s">
        <v>87</v>
      </c>
      <c r="G85" s="53" t="s">
        <v>55</v>
      </c>
      <c r="H85" s="839">
        <v>1</v>
      </c>
      <c r="I85" s="839"/>
      <c r="J85" s="839"/>
      <c r="K85" s="839"/>
      <c r="L85" s="839"/>
      <c r="M85" s="839"/>
    </row>
    <row r="86" spans="1:13">
      <c r="A86" s="20"/>
      <c r="B86" s="38"/>
      <c r="C86" s="20"/>
      <c r="D86" s="45" t="s">
        <v>80</v>
      </c>
      <c r="E86" s="45"/>
      <c r="F86" s="46" t="s">
        <v>87</v>
      </c>
      <c r="G86" s="53" t="s">
        <v>55</v>
      </c>
      <c r="H86" s="839">
        <v>1</v>
      </c>
      <c r="I86" s="839">
        <v>1</v>
      </c>
      <c r="J86" s="839">
        <v>1</v>
      </c>
      <c r="K86" s="839">
        <v>1</v>
      </c>
      <c r="L86" s="839">
        <v>1</v>
      </c>
      <c r="M86" s="839"/>
    </row>
    <row r="87" spans="1:13">
      <c r="A87" s="20"/>
      <c r="B87" s="38"/>
      <c r="C87" s="20"/>
      <c r="D87" s="45" t="s">
        <v>81</v>
      </c>
      <c r="E87" s="45"/>
      <c r="F87" s="46" t="s">
        <v>87</v>
      </c>
      <c r="G87" s="53" t="s">
        <v>55</v>
      </c>
      <c r="H87" s="839">
        <v>1</v>
      </c>
      <c r="I87" s="839">
        <v>1</v>
      </c>
      <c r="J87" s="839">
        <v>1</v>
      </c>
      <c r="K87" s="839">
        <v>1</v>
      </c>
      <c r="L87" s="839">
        <v>1</v>
      </c>
      <c r="M87" s="839">
        <v>1</v>
      </c>
    </row>
    <row r="88" spans="1:13">
      <c r="A88" s="20"/>
      <c r="B88" s="38"/>
      <c r="C88" s="20"/>
      <c r="D88" s="45" t="s">
        <v>82</v>
      </c>
      <c r="E88" s="45"/>
      <c r="F88" s="46" t="s">
        <v>87</v>
      </c>
      <c r="G88" s="53" t="s">
        <v>55</v>
      </c>
      <c r="H88" s="839">
        <v>1</v>
      </c>
      <c r="I88" s="839">
        <v>1</v>
      </c>
      <c r="J88" s="839">
        <v>1</v>
      </c>
      <c r="K88" s="839">
        <v>1</v>
      </c>
      <c r="L88" s="839">
        <v>1</v>
      </c>
      <c r="M88" s="839"/>
    </row>
    <row r="89" spans="1:13">
      <c r="A89" s="20"/>
      <c r="B89" s="38"/>
      <c r="C89" s="20"/>
      <c r="D89" s="45" t="s">
        <v>83</v>
      </c>
      <c r="E89" s="45"/>
      <c r="F89" s="46" t="s">
        <v>87</v>
      </c>
      <c r="G89" s="53" t="s">
        <v>55</v>
      </c>
      <c r="H89" s="839">
        <v>1</v>
      </c>
      <c r="I89" s="839">
        <v>1</v>
      </c>
      <c r="J89" s="839">
        <v>1</v>
      </c>
      <c r="K89" s="839">
        <v>1</v>
      </c>
      <c r="L89" s="839">
        <v>1</v>
      </c>
      <c r="M89" s="839"/>
    </row>
    <row r="90" spans="1:13">
      <c r="A90" s="20"/>
      <c r="B90" s="38"/>
      <c r="C90" s="20"/>
      <c r="D90" s="45" t="s">
        <v>84</v>
      </c>
      <c r="E90" s="45"/>
      <c r="F90" s="46" t="s">
        <v>87</v>
      </c>
      <c r="G90" s="53" t="s">
        <v>55</v>
      </c>
      <c r="H90" s="839"/>
      <c r="I90" s="839"/>
      <c r="J90" s="839">
        <v>1</v>
      </c>
      <c r="K90" s="839">
        <v>1</v>
      </c>
      <c r="L90" s="839">
        <v>1</v>
      </c>
      <c r="M90" s="839">
        <v>1</v>
      </c>
    </row>
    <row r="91" spans="1:13">
      <c r="A91" s="20"/>
      <c r="B91" s="38"/>
      <c r="C91" s="20"/>
      <c r="D91" s="45" t="s">
        <v>85</v>
      </c>
      <c r="E91" s="45"/>
      <c r="F91" s="46" t="s">
        <v>87</v>
      </c>
      <c r="G91" s="53" t="s">
        <v>55</v>
      </c>
      <c r="H91" s="839"/>
      <c r="I91" s="839"/>
      <c r="J91" s="839">
        <v>1</v>
      </c>
      <c r="K91" s="839">
        <v>1</v>
      </c>
      <c r="L91" s="839">
        <v>1</v>
      </c>
      <c r="M91" s="839">
        <v>1</v>
      </c>
    </row>
    <row r="92" spans="1:13">
      <c r="A92" s="20"/>
      <c r="B92" s="38"/>
      <c r="C92" s="20"/>
      <c r="D92" s="45" t="s">
        <v>86</v>
      </c>
      <c r="E92" s="45"/>
      <c r="F92" s="46" t="s">
        <v>87</v>
      </c>
      <c r="G92" s="53" t="s">
        <v>55</v>
      </c>
      <c r="H92" s="839"/>
      <c r="I92" s="839"/>
      <c r="J92" s="839">
        <v>1</v>
      </c>
      <c r="K92" s="839">
        <v>1</v>
      </c>
      <c r="L92" s="839">
        <v>1</v>
      </c>
      <c r="M92" s="839">
        <v>1</v>
      </c>
    </row>
    <row r="93" spans="1:13">
      <c r="A93" s="20"/>
      <c r="B93" s="64"/>
      <c r="C93" s="20"/>
      <c r="D93" s="20"/>
      <c r="E93" s="20"/>
      <c r="F93" s="52"/>
      <c r="G93" s="41"/>
      <c r="H93" s="41"/>
      <c r="I93" s="41"/>
      <c r="J93" s="20"/>
      <c r="K93" s="20"/>
      <c r="L93" s="20"/>
      <c r="M93" s="20"/>
    </row>
    <row r="94" spans="1:13">
      <c r="A94" s="20"/>
      <c r="B94" s="64"/>
      <c r="C94" s="20"/>
      <c r="D94" s="20"/>
      <c r="E94" s="20"/>
      <c r="F94" s="52"/>
      <c r="G94" s="41"/>
      <c r="H94" s="41"/>
      <c r="I94" s="41"/>
      <c r="J94" s="20"/>
      <c r="K94" s="20"/>
      <c r="L94" s="20"/>
      <c r="M94" s="20"/>
    </row>
    <row r="95" spans="1:13">
      <c r="A95" s="35"/>
      <c r="B95" s="35"/>
      <c r="C95" s="35"/>
      <c r="D95" s="36" t="s">
        <v>88</v>
      </c>
      <c r="E95" s="36"/>
      <c r="F95" s="37"/>
      <c r="G95" s="37"/>
      <c r="H95" s="37"/>
      <c r="I95" s="35"/>
      <c r="J95" s="20"/>
      <c r="K95" s="20"/>
      <c r="L95" s="20"/>
      <c r="M95" s="20"/>
    </row>
    <row r="96" spans="1:13">
      <c r="A96" s="20"/>
      <c r="B96" s="38"/>
      <c r="C96" s="20"/>
      <c r="D96" s="65"/>
      <c r="E96" s="65"/>
      <c r="F96" s="52"/>
      <c r="G96" s="41"/>
      <c r="H96" s="41"/>
      <c r="I96" s="41"/>
      <c r="J96" s="20"/>
      <c r="K96" s="20"/>
      <c r="L96" s="20"/>
      <c r="M96" s="20"/>
    </row>
    <row r="97" spans="1:13">
      <c r="A97" s="20"/>
      <c r="B97" s="38"/>
      <c r="C97" s="20"/>
      <c r="D97" s="36" t="s">
        <v>89</v>
      </c>
      <c r="E97" s="66"/>
      <c r="F97" s="67"/>
      <c r="G97" s="68"/>
      <c r="H97" s="68"/>
      <c r="I97" s="41"/>
      <c r="J97" s="20"/>
      <c r="K97" s="20"/>
      <c r="L97" s="20"/>
      <c r="M97" s="20"/>
    </row>
    <row r="98" spans="1:13">
      <c r="A98" s="20"/>
      <c r="B98" s="38"/>
      <c r="C98" s="20"/>
      <c r="D98" s="69" t="s">
        <v>90</v>
      </c>
      <c r="E98" s="69" t="s">
        <v>91</v>
      </c>
      <c r="F98" s="70"/>
      <c r="G98" s="47" t="s">
        <v>37</v>
      </c>
      <c r="H98" s="836">
        <v>1</v>
      </c>
      <c r="I98" s="41" t="s">
        <v>38</v>
      </c>
      <c r="J98" s="20"/>
      <c r="K98" s="20"/>
      <c r="L98" s="20"/>
      <c r="M98" s="20"/>
    </row>
    <row r="99" spans="1:13">
      <c r="A99" s="20"/>
      <c r="B99" s="38"/>
      <c r="C99" s="20"/>
      <c r="D99" s="69" t="s">
        <v>92</v>
      </c>
      <c r="E99" s="69" t="s">
        <v>93</v>
      </c>
      <c r="F99" s="70"/>
      <c r="G99" s="47" t="s">
        <v>37</v>
      </c>
      <c r="H99" s="836">
        <v>1</v>
      </c>
      <c r="I99" s="41" t="s">
        <v>38</v>
      </c>
      <c r="J99" s="20"/>
      <c r="K99" s="20"/>
      <c r="L99" s="20"/>
      <c r="M99" s="20"/>
    </row>
    <row r="100" spans="1:13">
      <c r="A100" s="20"/>
      <c r="B100" s="38"/>
      <c r="C100" s="20"/>
      <c r="D100" s="65"/>
      <c r="E100" s="65"/>
      <c r="F100" s="52"/>
      <c r="G100" s="41"/>
      <c r="H100" s="41"/>
      <c r="I100" s="41"/>
      <c r="J100" s="20"/>
      <c r="K100" s="20"/>
      <c r="L100" s="20"/>
      <c r="M100" s="20"/>
    </row>
    <row r="101" spans="1:13">
      <c r="A101" s="20"/>
      <c r="B101" s="38"/>
      <c r="C101" s="20"/>
      <c r="D101" s="36" t="s">
        <v>94</v>
      </c>
      <c r="E101" s="66"/>
      <c r="F101" s="67"/>
      <c r="G101" s="68"/>
      <c r="H101" s="68"/>
      <c r="I101" s="41"/>
      <c r="J101" s="20"/>
      <c r="K101" s="20"/>
      <c r="L101" s="20"/>
      <c r="M101" s="20"/>
    </row>
    <row r="102" spans="1:13">
      <c r="A102" s="20"/>
      <c r="B102" s="38"/>
      <c r="C102" s="20"/>
      <c r="D102" s="69" t="s">
        <v>90</v>
      </c>
      <c r="E102" s="69" t="s">
        <v>91</v>
      </c>
      <c r="F102" s="70"/>
      <c r="G102" s="49" t="s">
        <v>48</v>
      </c>
      <c r="H102" s="836">
        <v>1</v>
      </c>
      <c r="I102" s="41" t="s">
        <v>38</v>
      </c>
      <c r="J102" s="20"/>
      <c r="K102" s="20"/>
      <c r="L102" s="20"/>
      <c r="M102" s="20"/>
    </row>
    <row r="103" spans="1:13">
      <c r="A103" s="20"/>
      <c r="B103" s="38"/>
      <c r="C103" s="20"/>
      <c r="D103" s="69" t="s">
        <v>90</v>
      </c>
      <c r="E103" s="69" t="s">
        <v>93</v>
      </c>
      <c r="F103" s="70"/>
      <c r="G103" s="49" t="s">
        <v>48</v>
      </c>
      <c r="H103" s="836">
        <v>1</v>
      </c>
      <c r="I103" s="41" t="s">
        <v>38</v>
      </c>
      <c r="J103" s="20"/>
      <c r="K103" s="20"/>
      <c r="L103" s="20"/>
      <c r="M103" s="20"/>
    </row>
    <row r="104" spans="1:13">
      <c r="A104" s="20"/>
      <c r="B104" s="64"/>
      <c r="C104" s="20"/>
      <c r="D104" s="65"/>
      <c r="E104" s="65"/>
      <c r="F104" s="52"/>
      <c r="G104" s="41"/>
      <c r="H104" s="41"/>
      <c r="I104" s="41"/>
      <c r="J104" s="20"/>
      <c r="K104" s="20"/>
      <c r="L104" s="20"/>
      <c r="M104" s="20"/>
    </row>
    <row r="105" spans="1:13">
      <c r="A105" s="20"/>
      <c r="B105" s="64"/>
      <c r="C105" s="20"/>
      <c r="D105" s="65"/>
      <c r="E105" s="65"/>
      <c r="F105" s="52"/>
      <c r="G105" s="41"/>
      <c r="H105" s="41"/>
      <c r="I105" s="41"/>
      <c r="J105" s="20"/>
      <c r="K105" s="20"/>
      <c r="L105" s="20"/>
      <c r="M105" s="20"/>
    </row>
    <row r="106" spans="1:13">
      <c r="A106" s="71"/>
      <c r="B106" s="71"/>
      <c r="C106" s="71"/>
      <c r="D106" s="36" t="s">
        <v>95</v>
      </c>
      <c r="E106" s="36"/>
      <c r="F106" s="71"/>
      <c r="G106" s="72"/>
      <c r="H106" s="72"/>
      <c r="I106" s="72"/>
      <c r="J106" s="20"/>
      <c r="K106" s="20"/>
      <c r="L106" s="20"/>
      <c r="M106" s="20"/>
    </row>
    <row r="107" spans="1:13">
      <c r="A107" s="20"/>
      <c r="B107" s="38"/>
      <c r="C107" s="20"/>
      <c r="D107" s="54"/>
      <c r="E107" s="54"/>
      <c r="F107" s="52"/>
      <c r="G107" s="20"/>
      <c r="H107" s="20"/>
      <c r="I107" s="20"/>
      <c r="J107" s="20"/>
      <c r="K107" s="20"/>
      <c r="L107" s="20"/>
      <c r="M107" s="20"/>
    </row>
    <row r="108" spans="1:13">
      <c r="A108" s="20"/>
      <c r="B108" s="38"/>
      <c r="C108" s="20"/>
      <c r="D108" s="69" t="s">
        <v>96</v>
      </c>
      <c r="E108" s="69" t="s">
        <v>97</v>
      </c>
      <c r="F108" s="67" t="s">
        <v>36</v>
      </c>
      <c r="G108" s="53" t="s">
        <v>55</v>
      </c>
      <c r="H108" s="53"/>
      <c r="I108" s="41" t="s">
        <v>38</v>
      </c>
      <c r="J108" s="73"/>
      <c r="K108" s="20"/>
      <c r="L108" s="20"/>
      <c r="M108" s="20"/>
    </row>
    <row r="109" spans="1:13">
      <c r="A109" s="20"/>
      <c r="B109" s="38"/>
      <c r="C109" s="20"/>
      <c r="D109" s="69" t="s">
        <v>98</v>
      </c>
      <c r="E109" s="69" t="s">
        <v>97</v>
      </c>
      <c r="F109" s="67" t="s">
        <v>36</v>
      </c>
      <c r="G109" s="53" t="s">
        <v>55</v>
      </c>
      <c r="H109" s="53"/>
      <c r="I109" s="41" t="s">
        <v>38</v>
      </c>
      <c r="J109" s="73"/>
      <c r="K109" s="20"/>
      <c r="L109" s="20"/>
      <c r="M109" s="20"/>
    </row>
    <row r="110" spans="1:13">
      <c r="A110" s="20"/>
      <c r="B110" s="38"/>
      <c r="C110" s="20"/>
      <c r="D110" s="69" t="s">
        <v>99</v>
      </c>
      <c r="E110" s="69" t="s">
        <v>97</v>
      </c>
      <c r="F110" s="67" t="s">
        <v>36</v>
      </c>
      <c r="G110" s="53" t="s">
        <v>55</v>
      </c>
      <c r="H110" s="53"/>
      <c r="I110" s="41" t="s">
        <v>38</v>
      </c>
      <c r="J110" s="73"/>
      <c r="K110" s="20"/>
      <c r="L110" s="20"/>
      <c r="M110" s="20"/>
    </row>
    <row r="111" spans="1:13">
      <c r="A111" s="20"/>
      <c r="B111" s="38"/>
      <c r="C111" s="20"/>
      <c r="D111" s="69" t="s">
        <v>100</v>
      </c>
      <c r="E111" s="69" t="s">
        <v>97</v>
      </c>
      <c r="F111" s="67" t="s">
        <v>36</v>
      </c>
      <c r="G111" s="53" t="s">
        <v>55</v>
      </c>
      <c r="H111" s="53"/>
      <c r="I111" s="41" t="s">
        <v>38</v>
      </c>
      <c r="J111" s="73"/>
      <c r="K111" s="20"/>
      <c r="L111" s="20"/>
      <c r="M111" s="20"/>
    </row>
    <row r="112" spans="1:13">
      <c r="A112" s="20"/>
      <c r="B112" s="38"/>
      <c r="C112" s="20"/>
      <c r="D112" s="69" t="s">
        <v>101</v>
      </c>
      <c r="E112" s="69" t="s">
        <v>97</v>
      </c>
      <c r="F112" s="67" t="s">
        <v>36</v>
      </c>
      <c r="G112" s="53" t="s">
        <v>55</v>
      </c>
      <c r="H112" s="53"/>
      <c r="I112" s="41" t="s">
        <v>38</v>
      </c>
      <c r="J112" s="73"/>
      <c r="K112" s="20"/>
      <c r="L112" s="20"/>
      <c r="M112" s="20"/>
    </row>
    <row r="113" spans="1:13">
      <c r="A113" s="20"/>
      <c r="B113" s="38"/>
      <c r="C113" s="20"/>
      <c r="D113" s="69" t="s">
        <v>102</v>
      </c>
      <c r="E113" s="69" t="s">
        <v>97</v>
      </c>
      <c r="F113" s="67" t="s">
        <v>36</v>
      </c>
      <c r="G113" s="53" t="s">
        <v>55</v>
      </c>
      <c r="H113" s="53"/>
      <c r="I113" s="41" t="s">
        <v>38</v>
      </c>
      <c r="J113" s="73"/>
      <c r="K113" s="20"/>
      <c r="L113" s="20"/>
      <c r="M113" s="20"/>
    </row>
    <row r="114" spans="1:13">
      <c r="A114" s="20"/>
      <c r="B114" s="38"/>
      <c r="C114" s="20"/>
      <c r="D114" s="69" t="s">
        <v>103</v>
      </c>
      <c r="E114" s="69" t="s">
        <v>97</v>
      </c>
      <c r="F114" s="67" t="s">
        <v>36</v>
      </c>
      <c r="G114" s="53" t="s">
        <v>55</v>
      </c>
      <c r="H114" s="53"/>
      <c r="I114" s="41" t="s">
        <v>38</v>
      </c>
      <c r="J114" s="73"/>
      <c r="K114" s="20"/>
      <c r="L114" s="20"/>
      <c r="M114" s="20"/>
    </row>
    <row r="115" spans="1:13">
      <c r="A115" s="20"/>
      <c r="B115" s="38"/>
      <c r="C115" s="20"/>
      <c r="D115" s="69" t="s">
        <v>104</v>
      </c>
      <c r="E115" s="69" t="s">
        <v>97</v>
      </c>
      <c r="F115" s="67" t="s">
        <v>36</v>
      </c>
      <c r="G115" s="53" t="s">
        <v>55</v>
      </c>
      <c r="H115" s="53"/>
      <c r="I115" s="41" t="s">
        <v>38</v>
      </c>
      <c r="J115" s="73"/>
      <c r="K115" s="20"/>
      <c r="L115" s="20"/>
      <c r="M115" s="20"/>
    </row>
    <row r="116" spans="1:13">
      <c r="A116" s="20"/>
      <c r="B116" s="38"/>
      <c r="C116" s="20"/>
      <c r="D116" s="69" t="s">
        <v>105</v>
      </c>
      <c r="E116" s="69" t="s">
        <v>97</v>
      </c>
      <c r="F116" s="67" t="s">
        <v>36</v>
      </c>
      <c r="G116" s="53" t="s">
        <v>55</v>
      </c>
      <c r="H116" s="53"/>
      <c r="I116" s="41" t="s">
        <v>38</v>
      </c>
      <c r="J116" s="73"/>
      <c r="K116" s="20"/>
      <c r="L116" s="20"/>
      <c r="M116" s="20"/>
    </row>
    <row r="117" spans="1:13">
      <c r="A117" s="20"/>
      <c r="B117" s="38"/>
      <c r="C117" s="20"/>
      <c r="D117" s="69" t="s">
        <v>104</v>
      </c>
      <c r="E117" s="69" t="s">
        <v>97</v>
      </c>
      <c r="F117" s="67" t="s">
        <v>106</v>
      </c>
      <c r="G117" s="53" t="s">
        <v>55</v>
      </c>
      <c r="H117" s="53"/>
      <c r="I117" s="41" t="s">
        <v>38</v>
      </c>
      <c r="J117" s="20"/>
      <c r="K117" s="20"/>
      <c r="L117" s="20"/>
      <c r="M117" s="20"/>
    </row>
    <row r="118" spans="1:13">
      <c r="A118" s="20"/>
      <c r="B118" s="38"/>
      <c r="C118" s="20"/>
      <c r="D118" s="69" t="s">
        <v>96</v>
      </c>
      <c r="E118" s="69" t="s">
        <v>107</v>
      </c>
      <c r="F118" s="67" t="s">
        <v>36</v>
      </c>
      <c r="G118" s="53" t="s">
        <v>55</v>
      </c>
      <c r="H118" s="53"/>
      <c r="I118" s="41" t="s">
        <v>38</v>
      </c>
      <c r="J118" s="20"/>
      <c r="K118" s="20"/>
      <c r="L118" s="20"/>
      <c r="M118" s="20"/>
    </row>
    <row r="119" spans="1:13">
      <c r="A119" s="20"/>
      <c r="B119" s="38"/>
      <c r="C119" s="20"/>
      <c r="D119" s="69" t="s">
        <v>98</v>
      </c>
      <c r="E119" s="69" t="s">
        <v>107</v>
      </c>
      <c r="F119" s="67" t="s">
        <v>36</v>
      </c>
      <c r="G119" s="53" t="s">
        <v>55</v>
      </c>
      <c r="H119" s="53"/>
      <c r="I119" s="41" t="s">
        <v>38</v>
      </c>
      <c r="J119" s="20"/>
      <c r="K119" s="20"/>
      <c r="L119" s="20"/>
      <c r="M119" s="20"/>
    </row>
    <row r="120" spans="1:13">
      <c r="A120" s="20"/>
      <c r="B120" s="38"/>
      <c r="C120" s="20"/>
      <c r="D120" s="69" t="s">
        <v>99</v>
      </c>
      <c r="E120" s="69" t="s">
        <v>107</v>
      </c>
      <c r="F120" s="67" t="s">
        <v>36</v>
      </c>
      <c r="G120" s="53" t="s">
        <v>55</v>
      </c>
      <c r="H120" s="53"/>
      <c r="I120" s="41" t="s">
        <v>38</v>
      </c>
      <c r="J120" s="20"/>
      <c r="K120" s="20"/>
      <c r="L120" s="20"/>
      <c r="M120" s="20"/>
    </row>
    <row r="121" spans="1:13">
      <c r="A121" s="20"/>
      <c r="B121" s="38"/>
      <c r="C121" s="20"/>
      <c r="D121" s="69" t="s">
        <v>100</v>
      </c>
      <c r="E121" s="69" t="s">
        <v>107</v>
      </c>
      <c r="F121" s="67" t="s">
        <v>36</v>
      </c>
      <c r="G121" s="53" t="s">
        <v>55</v>
      </c>
      <c r="H121" s="53"/>
      <c r="I121" s="41" t="s">
        <v>38</v>
      </c>
      <c r="J121" s="20"/>
      <c r="K121" s="20"/>
      <c r="L121" s="20"/>
      <c r="M121" s="20"/>
    </row>
    <row r="122" spans="1:13">
      <c r="A122" s="20"/>
      <c r="B122" s="38"/>
      <c r="C122" s="20"/>
      <c r="D122" s="69" t="s">
        <v>101</v>
      </c>
      <c r="E122" s="69" t="s">
        <v>107</v>
      </c>
      <c r="F122" s="67" t="s">
        <v>36</v>
      </c>
      <c r="G122" s="53" t="s">
        <v>55</v>
      </c>
      <c r="H122" s="53"/>
      <c r="I122" s="41" t="s">
        <v>38</v>
      </c>
      <c r="J122" s="20"/>
      <c r="K122" s="20"/>
      <c r="L122" s="20"/>
      <c r="M122" s="20"/>
    </row>
    <row r="123" spans="1:13">
      <c r="A123" s="20"/>
      <c r="B123" s="38"/>
      <c r="C123" s="20"/>
      <c r="D123" s="69" t="s">
        <v>102</v>
      </c>
      <c r="E123" s="69" t="s">
        <v>107</v>
      </c>
      <c r="F123" s="67" t="s">
        <v>36</v>
      </c>
      <c r="G123" s="53" t="s">
        <v>55</v>
      </c>
      <c r="H123" s="53"/>
      <c r="I123" s="41" t="s">
        <v>38</v>
      </c>
      <c r="J123" s="20"/>
      <c r="K123" s="20"/>
      <c r="L123" s="20"/>
      <c r="M123" s="20"/>
    </row>
    <row r="124" spans="1:13">
      <c r="A124" s="20"/>
      <c r="B124" s="38"/>
      <c r="C124" s="20"/>
      <c r="D124" s="69" t="s">
        <v>103</v>
      </c>
      <c r="E124" s="69" t="s">
        <v>107</v>
      </c>
      <c r="F124" s="67" t="s">
        <v>36</v>
      </c>
      <c r="G124" s="53" t="s">
        <v>55</v>
      </c>
      <c r="H124" s="53"/>
      <c r="I124" s="41" t="s">
        <v>38</v>
      </c>
      <c r="J124" s="20"/>
      <c r="K124" s="20"/>
      <c r="L124" s="20"/>
      <c r="M124" s="20"/>
    </row>
    <row r="125" spans="1:13">
      <c r="A125" s="20"/>
      <c r="B125" s="38"/>
      <c r="C125" s="20"/>
      <c r="D125" s="69" t="s">
        <v>104</v>
      </c>
      <c r="E125" s="69" t="s">
        <v>107</v>
      </c>
      <c r="F125" s="67" t="s">
        <v>36</v>
      </c>
      <c r="G125" s="53" t="s">
        <v>55</v>
      </c>
      <c r="H125" s="53"/>
      <c r="I125" s="41" t="s">
        <v>38</v>
      </c>
      <c r="J125" s="20"/>
      <c r="K125" s="20"/>
      <c r="L125" s="20"/>
      <c r="M125" s="20"/>
    </row>
    <row r="126" spans="1:13">
      <c r="A126" s="20"/>
      <c r="B126" s="38"/>
      <c r="C126" s="20"/>
      <c r="D126" s="69" t="s">
        <v>105</v>
      </c>
      <c r="E126" s="69" t="s">
        <v>107</v>
      </c>
      <c r="F126" s="67" t="s">
        <v>36</v>
      </c>
      <c r="G126" s="53" t="s">
        <v>55</v>
      </c>
      <c r="H126" s="53"/>
      <c r="I126" s="41" t="s">
        <v>38</v>
      </c>
      <c r="J126" s="20"/>
      <c r="K126" s="20"/>
      <c r="L126" s="20"/>
      <c r="M126" s="20"/>
    </row>
    <row r="127" spans="1:13">
      <c r="A127" s="20"/>
      <c r="B127" s="38"/>
      <c r="C127" s="20"/>
      <c r="D127" s="69" t="s">
        <v>104</v>
      </c>
      <c r="E127" s="69" t="s">
        <v>107</v>
      </c>
      <c r="F127" s="67" t="s">
        <v>106</v>
      </c>
      <c r="G127" s="53" t="s">
        <v>55</v>
      </c>
      <c r="H127" s="53"/>
      <c r="I127" s="41" t="s">
        <v>38</v>
      </c>
      <c r="J127" s="20"/>
      <c r="K127" s="20"/>
      <c r="L127" s="20"/>
      <c r="M127" s="20"/>
    </row>
    <row r="128" spans="1:13">
      <c r="A128" s="20"/>
      <c r="B128" s="38"/>
      <c r="C128" s="20"/>
      <c r="D128" s="69" t="s">
        <v>96</v>
      </c>
      <c r="E128" s="69"/>
      <c r="F128" s="67" t="s">
        <v>39</v>
      </c>
      <c r="G128" s="53" t="s">
        <v>55</v>
      </c>
      <c r="H128" s="838">
        <v>1</v>
      </c>
      <c r="I128" s="41" t="s">
        <v>38</v>
      </c>
      <c r="J128" s="20"/>
      <c r="K128" s="20"/>
      <c r="L128" s="20"/>
      <c r="M128" s="20"/>
    </row>
    <row r="129" spans="1:13">
      <c r="A129" s="20"/>
      <c r="B129" s="38"/>
      <c r="C129" s="20"/>
      <c r="D129" s="69" t="s">
        <v>98</v>
      </c>
      <c r="E129" s="69"/>
      <c r="F129" s="67" t="s">
        <v>39</v>
      </c>
      <c r="G129" s="53" t="s">
        <v>55</v>
      </c>
      <c r="H129" s="838">
        <v>1</v>
      </c>
      <c r="I129" s="41" t="s">
        <v>38</v>
      </c>
      <c r="J129" s="20"/>
      <c r="K129" s="20"/>
      <c r="L129" s="20"/>
      <c r="M129" s="20"/>
    </row>
    <row r="130" spans="1:13">
      <c r="A130" s="20"/>
      <c r="B130" s="38"/>
      <c r="C130" s="20"/>
      <c r="D130" s="69" t="s">
        <v>99</v>
      </c>
      <c r="E130" s="69"/>
      <c r="F130" s="67" t="s">
        <v>39</v>
      </c>
      <c r="G130" s="53" t="s">
        <v>55</v>
      </c>
      <c r="H130" s="838">
        <v>1</v>
      </c>
      <c r="I130" s="41" t="s">
        <v>38</v>
      </c>
      <c r="J130" s="20"/>
      <c r="K130" s="20"/>
      <c r="L130" s="20"/>
      <c r="M130" s="20"/>
    </row>
    <row r="131" spans="1:13">
      <c r="A131" s="20"/>
      <c r="B131" s="38"/>
      <c r="C131" s="20"/>
      <c r="D131" s="69" t="s">
        <v>100</v>
      </c>
      <c r="E131" s="69"/>
      <c r="F131" s="67" t="s">
        <v>39</v>
      </c>
      <c r="G131" s="53" t="s">
        <v>55</v>
      </c>
      <c r="H131" s="838">
        <v>1</v>
      </c>
      <c r="I131" s="41" t="s">
        <v>38</v>
      </c>
      <c r="J131" s="20"/>
      <c r="K131" s="20"/>
      <c r="L131" s="20"/>
      <c r="M131" s="20"/>
    </row>
    <row r="132" spans="1:13">
      <c r="A132" s="20"/>
      <c r="B132" s="38"/>
      <c r="C132" s="20"/>
      <c r="D132" s="69" t="s">
        <v>101</v>
      </c>
      <c r="E132" s="69"/>
      <c r="F132" s="67" t="s">
        <v>39</v>
      </c>
      <c r="G132" s="53" t="s">
        <v>55</v>
      </c>
      <c r="H132" s="838">
        <v>1</v>
      </c>
      <c r="I132" s="41" t="s">
        <v>38</v>
      </c>
      <c r="J132" s="20"/>
      <c r="K132" s="20"/>
      <c r="L132" s="20"/>
      <c r="M132" s="20"/>
    </row>
    <row r="133" spans="1:13">
      <c r="A133" s="20"/>
      <c r="B133" s="38"/>
      <c r="C133" s="20"/>
      <c r="D133" s="69" t="s">
        <v>102</v>
      </c>
      <c r="E133" s="69"/>
      <c r="F133" s="67" t="s">
        <v>39</v>
      </c>
      <c r="G133" s="53" t="s">
        <v>55</v>
      </c>
      <c r="H133" s="838">
        <v>1</v>
      </c>
      <c r="I133" s="41" t="s">
        <v>38</v>
      </c>
      <c r="J133" s="20"/>
      <c r="K133" s="20"/>
      <c r="L133" s="20"/>
      <c r="M133" s="20"/>
    </row>
    <row r="134" spans="1:13">
      <c r="A134" s="20"/>
      <c r="B134" s="38"/>
      <c r="C134" s="20"/>
      <c r="D134" s="69" t="s">
        <v>103</v>
      </c>
      <c r="E134" s="69"/>
      <c r="F134" s="67" t="s">
        <v>39</v>
      </c>
      <c r="G134" s="53" t="s">
        <v>55</v>
      </c>
      <c r="H134" s="838">
        <v>1</v>
      </c>
      <c r="I134" s="41" t="s">
        <v>38</v>
      </c>
      <c r="J134" s="20"/>
      <c r="K134" s="20"/>
      <c r="L134" s="20"/>
      <c r="M134" s="20"/>
    </row>
    <row r="135" spans="1:13">
      <c r="A135" s="20"/>
      <c r="B135" s="38"/>
      <c r="C135" s="20"/>
      <c r="D135" s="69" t="s">
        <v>104</v>
      </c>
      <c r="E135" s="69"/>
      <c r="F135" s="67" t="s">
        <v>39</v>
      </c>
      <c r="G135" s="53" t="s">
        <v>55</v>
      </c>
      <c r="H135" s="838">
        <v>1</v>
      </c>
      <c r="I135" s="41" t="s">
        <v>38</v>
      </c>
      <c r="J135" s="20"/>
      <c r="K135" s="20"/>
      <c r="L135" s="20"/>
      <c r="M135" s="20"/>
    </row>
    <row r="136" spans="1:13">
      <c r="A136" s="20"/>
      <c r="B136" s="38"/>
      <c r="C136" s="20"/>
      <c r="D136" s="65"/>
      <c r="E136" s="65"/>
      <c r="F136" s="52"/>
      <c r="G136" s="41"/>
      <c r="H136" s="41"/>
      <c r="I136" s="41"/>
      <c r="J136" s="20"/>
      <c r="K136" s="20"/>
      <c r="L136" s="20"/>
      <c r="M136" s="20"/>
    </row>
    <row r="137" spans="1:13">
      <c r="A137" s="20"/>
      <c r="B137" s="38"/>
      <c r="C137" s="20"/>
      <c r="D137" s="65"/>
      <c r="E137" s="65"/>
      <c r="F137" s="74"/>
      <c r="G137" s="41"/>
      <c r="H137" s="41"/>
      <c r="I137" s="41"/>
      <c r="J137" s="20"/>
      <c r="K137" s="20"/>
      <c r="L137" s="20"/>
      <c r="M137" s="20"/>
    </row>
    <row r="138" spans="1:13">
      <c r="A138" s="20"/>
      <c r="B138" s="64"/>
      <c r="C138" s="20"/>
      <c r="D138" s="65"/>
      <c r="E138" s="65"/>
      <c r="F138" s="52"/>
      <c r="G138" s="41"/>
      <c r="H138" s="41"/>
      <c r="I138" s="41"/>
      <c r="J138" s="20"/>
      <c r="K138" s="20"/>
      <c r="L138" s="20"/>
      <c r="M138" s="20"/>
    </row>
    <row r="139" spans="1:13">
      <c r="A139" s="71"/>
      <c r="B139" s="71"/>
      <c r="C139" s="71"/>
      <c r="D139" s="36" t="s">
        <v>108</v>
      </c>
      <c r="E139" s="36"/>
      <c r="F139" s="71"/>
      <c r="G139" s="72"/>
      <c r="H139" s="72"/>
      <c r="I139" s="72"/>
      <c r="J139" s="20"/>
      <c r="K139" s="20"/>
      <c r="L139" s="20"/>
      <c r="M139" s="20"/>
    </row>
    <row r="140" spans="1:13">
      <c r="A140" s="20"/>
      <c r="B140" s="38"/>
      <c r="C140" s="20"/>
      <c r="D140" s="20"/>
      <c r="E140" s="20"/>
      <c r="F140" s="52"/>
      <c r="G140" s="41"/>
      <c r="H140" s="41"/>
      <c r="I140" s="41"/>
      <c r="J140" s="20"/>
      <c r="K140" s="20"/>
      <c r="L140" s="20"/>
      <c r="M140" s="20"/>
    </row>
    <row r="141" spans="1:13">
      <c r="A141" s="20"/>
      <c r="B141" s="38"/>
      <c r="C141" s="20"/>
      <c r="D141" s="75" t="s">
        <v>109</v>
      </c>
      <c r="E141" s="75" t="s">
        <v>110</v>
      </c>
      <c r="F141" s="46" t="s">
        <v>58</v>
      </c>
      <c r="G141" s="53" t="s">
        <v>55</v>
      </c>
      <c r="H141" s="53"/>
      <c r="I141" s="41" t="s">
        <v>38</v>
      </c>
      <c r="J141" s="20"/>
      <c r="K141" s="20"/>
      <c r="L141" s="20"/>
      <c r="M141" s="20"/>
    </row>
    <row r="142" spans="1:13">
      <c r="A142" s="20"/>
      <c r="B142" s="38"/>
      <c r="C142" s="20"/>
      <c r="D142" s="75" t="s">
        <v>109</v>
      </c>
      <c r="E142" s="75" t="s">
        <v>111</v>
      </c>
      <c r="F142" s="46" t="s">
        <v>58</v>
      </c>
      <c r="G142" s="53" t="s">
        <v>55</v>
      </c>
      <c r="H142" s="53"/>
      <c r="I142" s="41" t="s">
        <v>38</v>
      </c>
      <c r="J142" s="20"/>
      <c r="K142" s="20"/>
      <c r="L142" s="20"/>
      <c r="M142" s="20"/>
    </row>
    <row r="143" spans="1:13">
      <c r="A143" s="20"/>
      <c r="B143" s="38"/>
      <c r="C143" s="20"/>
      <c r="D143" s="75" t="s">
        <v>109</v>
      </c>
      <c r="E143" s="75" t="s">
        <v>112</v>
      </c>
      <c r="F143" s="46" t="s">
        <v>58</v>
      </c>
      <c r="G143" s="53" t="s">
        <v>55</v>
      </c>
      <c r="H143" s="53"/>
      <c r="I143" s="41" t="s">
        <v>38</v>
      </c>
      <c r="J143" s="20"/>
      <c r="K143" s="20"/>
      <c r="L143" s="20"/>
      <c r="M143" s="20"/>
    </row>
    <row r="144" spans="1:13">
      <c r="A144" s="20"/>
      <c r="B144" s="38"/>
      <c r="C144" s="20"/>
      <c r="D144" s="75" t="s">
        <v>109</v>
      </c>
      <c r="E144" s="75" t="s">
        <v>113</v>
      </c>
      <c r="F144" s="46" t="s">
        <v>58</v>
      </c>
      <c r="G144" s="53" t="s">
        <v>55</v>
      </c>
      <c r="H144" s="53"/>
      <c r="I144" s="41" t="s">
        <v>38</v>
      </c>
      <c r="J144" s="20"/>
      <c r="K144" s="20"/>
      <c r="L144" s="20"/>
      <c r="M144" s="20"/>
    </row>
    <row r="145" spans="1:13">
      <c r="A145" s="20"/>
      <c r="B145" s="38"/>
      <c r="C145" s="20"/>
      <c r="D145" s="75" t="s">
        <v>109</v>
      </c>
      <c r="E145" s="75" t="s">
        <v>114</v>
      </c>
      <c r="F145" s="46" t="s">
        <v>58</v>
      </c>
      <c r="G145" s="53" t="s">
        <v>55</v>
      </c>
      <c r="H145" s="53"/>
      <c r="I145" s="41" t="s">
        <v>38</v>
      </c>
      <c r="J145" s="20"/>
      <c r="K145" s="20"/>
      <c r="L145" s="20"/>
      <c r="M145" s="20"/>
    </row>
    <row r="146" spans="1:13">
      <c r="A146" s="20"/>
      <c r="B146" s="38"/>
      <c r="C146" s="20"/>
      <c r="D146" s="76" t="s">
        <v>115</v>
      </c>
      <c r="E146" s="75"/>
      <c r="F146" s="77" t="s">
        <v>116</v>
      </c>
      <c r="G146" s="53" t="s">
        <v>55</v>
      </c>
      <c r="H146" s="838">
        <v>1</v>
      </c>
      <c r="I146" s="41" t="s">
        <v>38</v>
      </c>
      <c r="J146" s="20"/>
      <c r="K146" s="20"/>
      <c r="L146" s="20"/>
      <c r="M146" s="20"/>
    </row>
    <row r="147" spans="1:13">
      <c r="A147" s="20"/>
      <c r="B147" s="38"/>
      <c r="C147" s="20"/>
      <c r="D147" s="76" t="s">
        <v>115</v>
      </c>
      <c r="E147" s="75"/>
      <c r="F147" s="77" t="s">
        <v>39</v>
      </c>
      <c r="G147" s="53" t="s">
        <v>55</v>
      </c>
      <c r="H147" s="838">
        <v>1</v>
      </c>
      <c r="I147" s="41" t="s">
        <v>38</v>
      </c>
      <c r="J147" s="20"/>
      <c r="K147" s="20"/>
      <c r="L147" s="20"/>
      <c r="M147" s="20"/>
    </row>
    <row r="148" spans="1:13">
      <c r="A148" s="20"/>
      <c r="B148" s="64"/>
      <c r="C148" s="20"/>
      <c r="D148" s="20"/>
      <c r="E148" s="20"/>
      <c r="F148" s="52"/>
      <c r="G148" s="41"/>
      <c r="H148" s="41"/>
      <c r="I148" s="41"/>
      <c r="J148" s="20"/>
      <c r="K148" s="20"/>
      <c r="L148" s="20"/>
      <c r="M148" s="20"/>
    </row>
    <row r="149" spans="1:13">
      <c r="A149" s="71"/>
      <c r="B149" s="71"/>
      <c r="C149" s="71"/>
      <c r="D149" s="36" t="s">
        <v>117</v>
      </c>
      <c r="E149" s="36"/>
      <c r="F149" s="72"/>
      <c r="G149" s="72"/>
      <c r="H149" s="72"/>
      <c r="I149" s="71"/>
      <c r="J149" s="20"/>
      <c r="K149" s="20"/>
      <c r="L149" s="20"/>
      <c r="M149" s="20"/>
    </row>
    <row r="150" spans="1:13">
      <c r="A150" s="20"/>
      <c r="B150" s="38"/>
      <c r="C150" s="20"/>
      <c r="D150" s="20"/>
      <c r="E150" s="20"/>
      <c r="F150" s="52"/>
      <c r="G150" s="20"/>
      <c r="H150" s="20"/>
      <c r="I150" s="20"/>
      <c r="J150" s="20"/>
      <c r="K150" s="20"/>
      <c r="L150" s="20"/>
      <c r="M150" s="20"/>
    </row>
    <row r="151" spans="1:13">
      <c r="A151" s="20"/>
      <c r="B151" s="38"/>
      <c r="C151" s="20"/>
      <c r="D151" s="69" t="s">
        <v>118</v>
      </c>
      <c r="E151" s="69"/>
      <c r="F151" s="67"/>
      <c r="G151" s="47" t="s">
        <v>37</v>
      </c>
      <c r="H151" s="836">
        <v>1</v>
      </c>
      <c r="I151" s="41" t="s">
        <v>38</v>
      </c>
      <c r="J151" s="20"/>
      <c r="K151" s="20"/>
      <c r="L151" s="20"/>
      <c r="M151" s="20"/>
    </row>
    <row r="152" spans="1:13">
      <c r="A152" s="20"/>
      <c r="B152" s="38"/>
      <c r="C152" s="20"/>
      <c r="D152" s="69" t="s">
        <v>119</v>
      </c>
      <c r="E152" s="69"/>
      <c r="F152" s="67"/>
      <c r="G152" s="47" t="s">
        <v>37</v>
      </c>
      <c r="H152" s="836">
        <v>1</v>
      </c>
      <c r="I152" s="41" t="s">
        <v>38</v>
      </c>
      <c r="J152" s="20"/>
      <c r="K152" s="20"/>
      <c r="L152" s="20"/>
      <c r="M152" s="20"/>
    </row>
    <row r="153" spans="1:13">
      <c r="A153" s="20"/>
      <c r="B153" s="38"/>
      <c r="C153" s="20"/>
      <c r="D153" s="69" t="s">
        <v>120</v>
      </c>
      <c r="E153" s="69"/>
      <c r="F153" s="67"/>
      <c r="G153" s="47" t="s">
        <v>37</v>
      </c>
      <c r="H153" s="836">
        <v>1</v>
      </c>
      <c r="I153" s="41" t="s">
        <v>38</v>
      </c>
      <c r="J153" s="20"/>
      <c r="K153" s="20"/>
      <c r="L153" s="20"/>
      <c r="M153" s="20"/>
    </row>
    <row r="154" spans="1:13">
      <c r="A154" s="20"/>
      <c r="B154" s="38"/>
      <c r="C154" s="20"/>
      <c r="D154" s="69" t="s">
        <v>121</v>
      </c>
      <c r="E154" s="69"/>
      <c r="F154" s="67"/>
      <c r="G154" s="47" t="s">
        <v>37</v>
      </c>
      <c r="H154" s="836">
        <v>1</v>
      </c>
      <c r="I154" s="41" t="s">
        <v>38</v>
      </c>
      <c r="J154" s="20"/>
      <c r="K154" s="20"/>
      <c r="L154" s="20"/>
      <c r="M154" s="20"/>
    </row>
    <row r="155" spans="1:13">
      <c r="A155" s="20"/>
      <c r="B155" s="38"/>
      <c r="C155" s="20"/>
      <c r="D155" s="69" t="s">
        <v>122</v>
      </c>
      <c r="E155" s="69"/>
      <c r="F155" s="67"/>
      <c r="G155" s="47" t="s">
        <v>37</v>
      </c>
      <c r="H155" s="836">
        <v>1</v>
      </c>
      <c r="I155" s="41" t="s">
        <v>38</v>
      </c>
      <c r="J155" s="20"/>
      <c r="K155" s="20"/>
      <c r="L155" s="20"/>
      <c r="M155" s="48"/>
    </row>
    <row r="156" spans="1:13">
      <c r="A156" s="20"/>
      <c r="B156" s="38"/>
      <c r="C156" s="20"/>
      <c r="D156" s="69" t="s">
        <v>123</v>
      </c>
      <c r="E156" s="69"/>
      <c r="F156" s="67"/>
      <c r="G156" s="47" t="s">
        <v>37</v>
      </c>
      <c r="H156" s="836">
        <v>1</v>
      </c>
      <c r="I156" s="41" t="s">
        <v>38</v>
      </c>
      <c r="J156" s="20"/>
      <c r="K156" s="20"/>
      <c r="L156" s="20"/>
      <c r="M156" s="20"/>
    </row>
    <row r="157" spans="1:13">
      <c r="A157" s="20"/>
      <c r="B157" s="38"/>
      <c r="C157" s="20"/>
      <c r="D157" s="69" t="s">
        <v>124</v>
      </c>
      <c r="E157" s="69"/>
      <c r="F157" s="67"/>
      <c r="G157" s="47" t="s">
        <v>37</v>
      </c>
      <c r="H157" s="836">
        <v>1</v>
      </c>
      <c r="I157" s="41" t="s">
        <v>38</v>
      </c>
      <c r="J157" s="20"/>
      <c r="K157" s="20"/>
      <c r="L157" s="20"/>
      <c r="M157" s="20"/>
    </row>
    <row r="158" spans="1:13">
      <c r="A158" s="20"/>
      <c r="B158" s="38"/>
      <c r="C158" s="20"/>
      <c r="D158" s="69" t="s">
        <v>125</v>
      </c>
      <c r="E158" s="69"/>
      <c r="F158" s="67"/>
      <c r="G158" s="47" t="s">
        <v>37</v>
      </c>
      <c r="H158" s="836">
        <v>1</v>
      </c>
      <c r="I158" s="41" t="s">
        <v>38</v>
      </c>
      <c r="J158" s="20"/>
      <c r="K158" s="20"/>
      <c r="L158" s="20"/>
      <c r="M158" s="20"/>
    </row>
    <row r="159" spans="1:13">
      <c r="A159" s="20"/>
      <c r="B159" s="38"/>
      <c r="C159" s="20"/>
      <c r="D159" s="20"/>
      <c r="E159" s="20"/>
      <c r="F159" s="52"/>
      <c r="G159" s="78"/>
      <c r="H159" s="78"/>
      <c r="I159" s="20"/>
      <c r="J159" s="20"/>
      <c r="K159" s="20"/>
      <c r="L159" s="20"/>
      <c r="M159" s="20"/>
    </row>
    <row r="160" spans="1:13">
      <c r="A160" s="20"/>
      <c r="B160" s="38"/>
      <c r="C160" s="20"/>
      <c r="D160" s="69" t="s">
        <v>126</v>
      </c>
      <c r="E160" s="69"/>
      <c r="F160" s="67"/>
      <c r="G160" s="47" t="s">
        <v>37</v>
      </c>
      <c r="H160" s="836">
        <v>1</v>
      </c>
      <c r="I160" s="41" t="s">
        <v>127</v>
      </c>
      <c r="J160" s="20"/>
      <c r="K160" s="20"/>
      <c r="L160" s="20"/>
      <c r="M160" s="20"/>
    </row>
    <row r="161" spans="1:13">
      <c r="A161" s="20"/>
      <c r="B161" s="38"/>
      <c r="C161" s="20"/>
      <c r="D161" s="69" t="s">
        <v>128</v>
      </c>
      <c r="E161" s="69"/>
      <c r="F161" s="67"/>
      <c r="G161" s="47" t="s">
        <v>37</v>
      </c>
      <c r="H161" s="836">
        <v>1</v>
      </c>
      <c r="I161" s="41" t="s">
        <v>127</v>
      </c>
      <c r="J161" s="20"/>
      <c r="K161" s="20"/>
      <c r="L161" s="20"/>
      <c r="M161" s="48"/>
    </row>
    <row r="162" spans="1:13">
      <c r="A162" s="20"/>
      <c r="B162" s="38"/>
      <c r="C162" s="20"/>
      <c r="D162" s="69" t="s">
        <v>129</v>
      </c>
      <c r="E162" s="69"/>
      <c r="F162" s="67"/>
      <c r="G162" s="47" t="s">
        <v>37</v>
      </c>
      <c r="H162" s="836">
        <v>1</v>
      </c>
      <c r="I162" s="41" t="s">
        <v>127</v>
      </c>
      <c r="J162" s="20"/>
      <c r="K162" s="20"/>
      <c r="L162" s="20"/>
      <c r="M162" s="48"/>
    </row>
    <row r="163" spans="1:13">
      <c r="A163" s="20"/>
      <c r="B163" s="38"/>
      <c r="C163" s="20"/>
      <c r="D163" s="69" t="s">
        <v>130</v>
      </c>
      <c r="E163" s="69"/>
      <c r="F163" s="67"/>
      <c r="G163" s="47" t="s">
        <v>37</v>
      </c>
      <c r="H163" s="836">
        <v>1</v>
      </c>
      <c r="I163" s="41" t="s">
        <v>127</v>
      </c>
      <c r="J163" s="20"/>
      <c r="K163" s="20"/>
      <c r="L163" s="20"/>
      <c r="M163" s="48"/>
    </row>
    <row r="164" spans="1:13">
      <c r="A164" s="20"/>
      <c r="B164" s="38"/>
      <c r="C164" s="20"/>
      <c r="D164" s="69" t="s">
        <v>131</v>
      </c>
      <c r="E164" s="69"/>
      <c r="F164" s="67"/>
      <c r="G164" s="47" t="s">
        <v>37</v>
      </c>
      <c r="H164" s="836">
        <v>1</v>
      </c>
      <c r="I164" s="41" t="s">
        <v>127</v>
      </c>
      <c r="J164" s="20"/>
      <c r="K164" s="20"/>
      <c r="L164" s="20"/>
      <c r="M164" s="20"/>
    </row>
    <row r="165" spans="1:13">
      <c r="A165" s="20"/>
      <c r="B165" s="38"/>
      <c r="C165" s="20"/>
      <c r="D165" s="69" t="s">
        <v>132</v>
      </c>
      <c r="E165" s="69"/>
      <c r="F165" s="67"/>
      <c r="G165" s="47" t="s">
        <v>37</v>
      </c>
      <c r="H165" s="836">
        <v>1</v>
      </c>
      <c r="I165" s="41" t="s">
        <v>127</v>
      </c>
      <c r="J165" s="20"/>
      <c r="K165" s="20"/>
      <c r="L165" s="20"/>
      <c r="M165" s="20"/>
    </row>
    <row r="166" spans="1:13">
      <c r="A166" s="20"/>
      <c r="B166" s="38"/>
      <c r="C166" s="20"/>
      <c r="D166" s="69" t="s">
        <v>133</v>
      </c>
      <c r="E166" s="69"/>
      <c r="F166" s="67"/>
      <c r="G166" s="47" t="s">
        <v>37</v>
      </c>
      <c r="H166" s="836">
        <v>1</v>
      </c>
      <c r="I166" s="41" t="s">
        <v>127</v>
      </c>
      <c r="J166" s="20"/>
      <c r="K166" s="20"/>
      <c r="L166" s="20"/>
      <c r="M166" s="20"/>
    </row>
    <row r="167" spans="1:13">
      <c r="A167" s="20"/>
      <c r="B167" s="38"/>
      <c r="C167" s="20"/>
      <c r="D167" s="20"/>
      <c r="E167" s="20"/>
      <c r="F167" s="52"/>
      <c r="G167" s="79"/>
      <c r="H167" s="78"/>
      <c r="I167" s="20"/>
      <c r="J167" s="20"/>
      <c r="K167" s="20"/>
      <c r="L167" s="20"/>
      <c r="M167" s="20"/>
    </row>
    <row r="168" spans="1:13">
      <c r="A168" s="20"/>
      <c r="B168" s="38"/>
      <c r="C168" s="20"/>
      <c r="D168" s="69" t="s">
        <v>134</v>
      </c>
      <c r="E168" s="69"/>
      <c r="F168" s="67"/>
      <c r="G168" s="47" t="s">
        <v>37</v>
      </c>
      <c r="H168" s="836">
        <v>1</v>
      </c>
      <c r="I168" s="41" t="s">
        <v>127</v>
      </c>
      <c r="J168" s="20"/>
      <c r="K168" s="20"/>
      <c r="L168" s="20"/>
      <c r="M168" s="20"/>
    </row>
    <row r="169" spans="1:13">
      <c r="A169" s="20"/>
      <c r="B169" s="38"/>
      <c r="C169" s="20"/>
      <c r="D169" s="69" t="s">
        <v>135</v>
      </c>
      <c r="E169" s="69"/>
      <c r="F169" s="67"/>
      <c r="G169" s="47" t="s">
        <v>37</v>
      </c>
      <c r="H169" s="836">
        <v>1</v>
      </c>
      <c r="I169" s="41" t="s">
        <v>127</v>
      </c>
      <c r="J169" s="20"/>
      <c r="K169" s="20"/>
      <c r="L169" s="20"/>
      <c r="M169" s="20"/>
    </row>
    <row r="170" spans="1:13">
      <c r="A170" s="20"/>
      <c r="B170" s="38"/>
      <c r="C170" s="20"/>
      <c r="D170" s="69" t="s">
        <v>136</v>
      </c>
      <c r="E170" s="69"/>
      <c r="F170" s="67"/>
      <c r="G170" s="47" t="s">
        <v>37</v>
      </c>
      <c r="H170" s="836">
        <v>1</v>
      </c>
      <c r="I170" s="41" t="s">
        <v>127</v>
      </c>
      <c r="J170" s="20"/>
      <c r="K170" s="20"/>
      <c r="L170" s="20"/>
      <c r="M170" s="20"/>
    </row>
    <row r="171" spans="1:13">
      <c r="A171" s="20"/>
      <c r="B171" s="38"/>
      <c r="C171" s="20"/>
      <c r="D171" s="69" t="s">
        <v>137</v>
      </c>
      <c r="E171" s="69"/>
      <c r="F171" s="67"/>
      <c r="G171" s="47" t="s">
        <v>37</v>
      </c>
      <c r="H171" s="836">
        <v>1</v>
      </c>
      <c r="I171" s="41" t="s">
        <v>127</v>
      </c>
      <c r="J171" s="20"/>
      <c r="K171" s="20"/>
      <c r="L171" s="20"/>
      <c r="M171" s="20"/>
    </row>
    <row r="172" spans="1:13">
      <c r="A172" s="20"/>
      <c r="B172" s="38"/>
      <c r="C172" s="20"/>
      <c r="D172" s="69" t="s">
        <v>138</v>
      </c>
      <c r="E172" s="69"/>
      <c r="F172" s="67"/>
      <c r="G172" s="47" t="s">
        <v>37</v>
      </c>
      <c r="H172" s="836">
        <v>1</v>
      </c>
      <c r="I172" s="41" t="s">
        <v>127</v>
      </c>
      <c r="J172" s="20"/>
      <c r="K172" s="20"/>
      <c r="L172" s="20"/>
      <c r="M172" s="20"/>
    </row>
    <row r="173" spans="1:13">
      <c r="A173" s="20"/>
      <c r="B173" s="38"/>
      <c r="C173" s="20"/>
      <c r="D173" s="69" t="s">
        <v>139</v>
      </c>
      <c r="E173" s="69"/>
      <c r="F173" s="67"/>
      <c r="G173" s="47" t="s">
        <v>37</v>
      </c>
      <c r="H173" s="836">
        <v>1</v>
      </c>
      <c r="I173" s="41" t="s">
        <v>127</v>
      </c>
      <c r="J173" s="20"/>
      <c r="K173" s="20"/>
      <c r="L173" s="20"/>
      <c r="M173" s="20"/>
    </row>
    <row r="174" spans="1:13">
      <c r="A174" s="20"/>
      <c r="B174" s="38"/>
      <c r="C174" s="20"/>
      <c r="D174" s="69" t="s">
        <v>140</v>
      </c>
      <c r="E174" s="69"/>
      <c r="F174" s="67"/>
      <c r="G174" s="47" t="s">
        <v>37</v>
      </c>
      <c r="H174" s="836">
        <v>1</v>
      </c>
      <c r="I174" s="41" t="s">
        <v>127</v>
      </c>
      <c r="J174" s="20"/>
      <c r="K174" s="20"/>
      <c r="L174" s="20"/>
      <c r="M174" s="20"/>
    </row>
    <row r="175" spans="1:13">
      <c r="A175" s="20"/>
      <c r="B175" s="38"/>
      <c r="C175" s="20"/>
      <c r="D175" s="20"/>
      <c r="E175" s="20"/>
      <c r="F175" s="52"/>
      <c r="G175" s="79"/>
      <c r="H175" s="78"/>
      <c r="I175" s="20"/>
      <c r="J175" s="20"/>
      <c r="K175" s="20"/>
      <c r="L175" s="20"/>
      <c r="M175" s="20"/>
    </row>
    <row r="176" spans="1:13">
      <c r="A176" s="20"/>
      <c r="B176" s="38"/>
      <c r="C176" s="20"/>
      <c r="D176" s="69" t="s">
        <v>141</v>
      </c>
      <c r="E176" s="69"/>
      <c r="F176" s="67"/>
      <c r="G176" s="47" t="s">
        <v>37</v>
      </c>
      <c r="H176" s="836">
        <v>1</v>
      </c>
      <c r="I176" s="41" t="s">
        <v>127</v>
      </c>
      <c r="J176" s="20"/>
      <c r="K176" s="20"/>
      <c r="L176" s="20"/>
      <c r="M176" s="20"/>
    </row>
    <row r="177" spans="1:13">
      <c r="A177" s="20"/>
      <c r="B177" s="38"/>
      <c r="C177" s="20"/>
      <c r="D177" s="69" t="s">
        <v>142</v>
      </c>
      <c r="E177" s="69"/>
      <c r="F177" s="67"/>
      <c r="G177" s="47" t="s">
        <v>37</v>
      </c>
      <c r="H177" s="836">
        <v>1</v>
      </c>
      <c r="I177" s="41" t="s">
        <v>127</v>
      </c>
      <c r="J177" s="20"/>
      <c r="K177" s="20"/>
      <c r="L177" s="20"/>
      <c r="M177" s="20"/>
    </row>
    <row r="178" spans="1:13">
      <c r="A178" s="20"/>
      <c r="B178" s="38"/>
      <c r="C178" s="20"/>
      <c r="D178" s="69" t="s">
        <v>143</v>
      </c>
      <c r="E178" s="69"/>
      <c r="F178" s="67"/>
      <c r="G178" s="47" t="s">
        <v>37</v>
      </c>
      <c r="H178" s="836">
        <v>1</v>
      </c>
      <c r="I178" s="41" t="s">
        <v>127</v>
      </c>
      <c r="J178" s="20"/>
      <c r="K178" s="20"/>
      <c r="L178" s="20"/>
      <c r="M178" s="20"/>
    </row>
    <row r="179" spans="1:13">
      <c r="A179" s="20"/>
      <c r="B179" s="38"/>
      <c r="C179" s="20"/>
      <c r="D179" s="69" t="s">
        <v>144</v>
      </c>
      <c r="E179" s="69"/>
      <c r="F179" s="67"/>
      <c r="G179" s="47" t="s">
        <v>37</v>
      </c>
      <c r="H179" s="836">
        <v>1</v>
      </c>
      <c r="I179" s="41" t="s">
        <v>127</v>
      </c>
      <c r="J179" s="20"/>
      <c r="K179" s="20"/>
      <c r="L179" s="20"/>
      <c r="M179" s="20"/>
    </row>
    <row r="180" spans="1:13">
      <c r="A180" s="20"/>
      <c r="B180" s="38"/>
      <c r="C180" s="20"/>
      <c r="D180" s="69" t="s">
        <v>145</v>
      </c>
      <c r="E180" s="69"/>
      <c r="F180" s="67"/>
      <c r="G180" s="47" t="s">
        <v>37</v>
      </c>
      <c r="H180" s="836">
        <v>1</v>
      </c>
      <c r="I180" s="41" t="s">
        <v>127</v>
      </c>
      <c r="J180" s="20"/>
      <c r="K180" s="20"/>
      <c r="L180" s="20"/>
      <c r="M180" s="20"/>
    </row>
    <row r="181" spans="1:13">
      <c r="A181" s="20"/>
      <c r="B181" s="38"/>
      <c r="C181" s="20"/>
      <c r="D181" s="69" t="s">
        <v>146</v>
      </c>
      <c r="E181" s="69"/>
      <c r="F181" s="67"/>
      <c r="G181" s="47" t="s">
        <v>37</v>
      </c>
      <c r="H181" s="836">
        <v>1</v>
      </c>
      <c r="I181" s="41" t="s">
        <v>127</v>
      </c>
      <c r="J181" s="20"/>
      <c r="K181" s="20"/>
      <c r="L181" s="20"/>
      <c r="M181" s="20"/>
    </row>
    <row r="182" spans="1:13">
      <c r="A182" s="20"/>
      <c r="B182" s="38"/>
      <c r="C182" s="20"/>
      <c r="D182" s="69" t="s">
        <v>147</v>
      </c>
      <c r="E182" s="69"/>
      <c r="F182" s="67"/>
      <c r="G182" s="47" t="s">
        <v>37</v>
      </c>
      <c r="H182" s="836">
        <v>1</v>
      </c>
      <c r="I182" s="41" t="s">
        <v>127</v>
      </c>
      <c r="J182" s="20"/>
      <c r="K182" s="20"/>
      <c r="L182" s="20"/>
      <c r="M182" s="20"/>
    </row>
    <row r="183" spans="1:13">
      <c r="A183" s="20"/>
      <c r="B183" s="64"/>
      <c r="C183" s="20"/>
      <c r="D183" s="20"/>
      <c r="E183" s="20"/>
      <c r="F183" s="52"/>
      <c r="G183" s="20"/>
      <c r="H183" s="20"/>
      <c r="I183" s="20"/>
      <c r="J183" s="20"/>
      <c r="K183" s="20"/>
      <c r="L183" s="20"/>
      <c r="M183" s="20"/>
    </row>
    <row r="184" spans="1:13">
      <c r="A184" s="71"/>
      <c r="B184" s="71"/>
      <c r="C184" s="71"/>
      <c r="D184" s="36" t="s">
        <v>148</v>
      </c>
      <c r="E184" s="36"/>
      <c r="F184" s="71"/>
      <c r="G184" s="72"/>
      <c r="H184" s="72"/>
      <c r="I184" s="72"/>
      <c r="J184" s="20"/>
      <c r="K184" s="20"/>
      <c r="L184" s="20"/>
      <c r="M184" s="20"/>
    </row>
    <row r="185" spans="1:13">
      <c r="A185" s="20"/>
      <c r="B185" s="38"/>
      <c r="C185" s="20"/>
      <c r="D185" s="65"/>
      <c r="E185" s="65"/>
      <c r="F185" s="52"/>
      <c r="G185" s="41"/>
      <c r="H185" s="41"/>
      <c r="I185" s="41"/>
      <c r="J185" s="20"/>
      <c r="K185" s="20"/>
      <c r="L185" s="20"/>
      <c r="M185" s="20"/>
    </row>
    <row r="186" spans="1:13">
      <c r="A186" s="20"/>
      <c r="B186" s="38"/>
      <c r="C186" s="20"/>
      <c r="D186" s="69" t="s">
        <v>149</v>
      </c>
      <c r="E186" s="69"/>
      <c r="F186" s="70"/>
      <c r="G186" s="47" t="s">
        <v>37</v>
      </c>
      <c r="H186" s="836">
        <v>1</v>
      </c>
      <c r="I186" s="41" t="s">
        <v>38</v>
      </c>
      <c r="J186" s="20"/>
      <c r="K186" s="20"/>
      <c r="L186" s="20"/>
      <c r="M186" s="20"/>
    </row>
    <row r="187" spans="1:13">
      <c r="A187" s="20"/>
      <c r="B187" s="38"/>
      <c r="C187" s="20"/>
      <c r="D187" s="69" t="s">
        <v>150</v>
      </c>
      <c r="E187" s="69"/>
      <c r="F187" s="70"/>
      <c r="G187" s="47" t="s">
        <v>37</v>
      </c>
      <c r="H187" s="836">
        <v>1</v>
      </c>
      <c r="I187" s="41" t="s">
        <v>38</v>
      </c>
      <c r="J187" s="20"/>
      <c r="K187" s="20"/>
      <c r="L187" s="20"/>
      <c r="M187" s="20"/>
    </row>
    <row r="188" spans="1:13">
      <c r="A188" s="20"/>
      <c r="B188" s="38"/>
      <c r="C188" s="20"/>
      <c r="D188" s="65"/>
      <c r="E188" s="65"/>
      <c r="F188" s="52"/>
      <c r="G188" s="41"/>
      <c r="H188" s="41"/>
      <c r="I188" s="41"/>
      <c r="J188" s="20"/>
      <c r="K188" s="20"/>
      <c r="L188" s="20"/>
      <c r="M188" s="20"/>
    </row>
    <row r="189" spans="1:13">
      <c r="A189" s="20"/>
      <c r="B189" s="38"/>
      <c r="C189" s="20"/>
      <c r="D189" s="69" t="s">
        <v>149</v>
      </c>
      <c r="E189" s="69"/>
      <c r="F189" s="70"/>
      <c r="G189" s="49" t="s">
        <v>48</v>
      </c>
      <c r="H189" s="836">
        <v>1</v>
      </c>
      <c r="I189" s="41" t="s">
        <v>38</v>
      </c>
      <c r="J189" s="20"/>
      <c r="K189" s="20"/>
      <c r="L189" s="20"/>
      <c r="M189" s="20"/>
    </row>
    <row r="190" spans="1:13">
      <c r="A190" s="20"/>
      <c r="B190" s="38"/>
      <c r="C190" s="20"/>
      <c r="D190" s="69" t="s">
        <v>150</v>
      </c>
      <c r="E190" s="69"/>
      <c r="F190" s="70"/>
      <c r="G190" s="49" t="s">
        <v>48</v>
      </c>
      <c r="H190" s="836">
        <v>1</v>
      </c>
      <c r="I190" s="41" t="s">
        <v>38</v>
      </c>
      <c r="J190" s="20"/>
      <c r="K190" s="20"/>
      <c r="L190" s="20"/>
      <c r="M190" s="20"/>
    </row>
    <row r="191" spans="1:13">
      <c r="A191" s="20"/>
      <c r="B191" s="38"/>
      <c r="C191" s="20"/>
      <c r="D191" s="65"/>
      <c r="E191" s="65"/>
      <c r="F191" s="52"/>
      <c r="G191" s="41"/>
      <c r="H191" s="41"/>
      <c r="I191" s="41"/>
      <c r="J191" s="20"/>
      <c r="K191" s="20"/>
      <c r="L191" s="20"/>
      <c r="M191" s="20"/>
    </row>
    <row r="192" spans="1:13">
      <c r="A192" s="20"/>
      <c r="B192" s="38"/>
      <c r="C192" s="20"/>
      <c r="D192" s="69" t="s">
        <v>151</v>
      </c>
      <c r="E192" s="69"/>
      <c r="F192" s="70"/>
      <c r="G192" s="53" t="s">
        <v>55</v>
      </c>
      <c r="H192" s="838">
        <v>1</v>
      </c>
      <c r="I192" s="41" t="s">
        <v>38</v>
      </c>
      <c r="J192" s="20"/>
      <c r="K192" s="20"/>
      <c r="L192" s="20"/>
      <c r="M192" s="20"/>
    </row>
    <row r="193" spans="1:13">
      <c r="A193" s="20"/>
      <c r="B193" s="38"/>
      <c r="C193" s="20"/>
      <c r="D193" s="69" t="s">
        <v>152</v>
      </c>
      <c r="E193" s="69"/>
      <c r="F193" s="70"/>
      <c r="G193" s="53" t="s">
        <v>55</v>
      </c>
      <c r="H193" s="838">
        <v>1</v>
      </c>
      <c r="I193" s="41" t="s">
        <v>38</v>
      </c>
      <c r="J193" s="20"/>
      <c r="K193" s="20"/>
      <c r="L193" s="20"/>
      <c r="M193" s="20"/>
    </row>
    <row r="194" spans="1:13">
      <c r="A194" s="20"/>
      <c r="B194" s="64"/>
      <c r="C194" s="20"/>
      <c r="D194" s="65"/>
      <c r="E194" s="65"/>
      <c r="F194" s="52"/>
      <c r="G194" s="41"/>
      <c r="H194" s="41"/>
      <c r="I194" s="41"/>
      <c r="J194" s="20"/>
      <c r="K194" s="20"/>
      <c r="L194" s="20"/>
      <c r="M194" s="20"/>
    </row>
    <row r="195" spans="1:13">
      <c r="A195" s="71"/>
      <c r="B195" s="71"/>
      <c r="C195" s="71"/>
      <c r="D195" s="36" t="s">
        <v>153</v>
      </c>
      <c r="E195" s="36"/>
      <c r="F195" s="71"/>
      <c r="G195" s="72"/>
      <c r="H195" s="72"/>
      <c r="I195" s="72"/>
      <c r="J195" s="20"/>
      <c r="K195" s="20"/>
      <c r="L195" s="20"/>
      <c r="M195" s="20"/>
    </row>
    <row r="196" spans="1:13">
      <c r="A196" s="20"/>
      <c r="B196" s="38"/>
      <c r="C196" s="20"/>
      <c r="D196" s="65"/>
      <c r="E196" s="65"/>
      <c r="F196" s="52"/>
      <c r="G196" s="41"/>
      <c r="H196" s="41"/>
      <c r="I196" s="41"/>
      <c r="J196" s="20"/>
      <c r="K196" s="20"/>
      <c r="L196" s="20"/>
      <c r="M196" s="20"/>
    </row>
    <row r="197" spans="1:13">
      <c r="A197" s="20"/>
      <c r="B197" s="38"/>
      <c r="C197" s="20"/>
      <c r="D197" s="69" t="s">
        <v>154</v>
      </c>
      <c r="E197" s="69"/>
      <c r="F197" s="67"/>
      <c r="G197" s="47" t="s">
        <v>37</v>
      </c>
      <c r="H197" s="842">
        <v>0.01</v>
      </c>
      <c r="I197" s="80" t="s">
        <v>155</v>
      </c>
      <c r="J197" s="81"/>
      <c r="K197" s="81"/>
      <c r="L197" s="81"/>
      <c r="M197" s="81"/>
    </row>
    <row r="198" spans="1:13">
      <c r="A198" s="20"/>
      <c r="B198" s="38"/>
      <c r="C198" s="20"/>
      <c r="D198" s="69" t="s">
        <v>156</v>
      </c>
      <c r="E198" s="69"/>
      <c r="F198" s="67"/>
      <c r="G198" s="47" t="s">
        <v>37</v>
      </c>
      <c r="H198" s="842">
        <v>0.01</v>
      </c>
      <c r="I198" s="80" t="s">
        <v>155</v>
      </c>
      <c r="J198" s="81"/>
      <c r="K198" s="81"/>
      <c r="L198" s="81"/>
      <c r="M198" s="81"/>
    </row>
    <row r="199" spans="1:13">
      <c r="A199" s="20"/>
      <c r="B199" s="38"/>
      <c r="C199" s="20"/>
      <c r="D199" s="69" t="s">
        <v>157</v>
      </c>
      <c r="E199" s="69"/>
      <c r="F199" s="67"/>
      <c r="G199" s="47" t="s">
        <v>37</v>
      </c>
      <c r="H199" s="842">
        <v>0.01</v>
      </c>
      <c r="I199" s="80" t="s">
        <v>155</v>
      </c>
      <c r="J199" s="81"/>
      <c r="K199" s="81"/>
      <c r="L199" s="81"/>
      <c r="M199" s="81"/>
    </row>
    <row r="200" spans="1:13">
      <c r="A200" s="20"/>
      <c r="B200" s="38"/>
      <c r="C200" s="20"/>
      <c r="D200" s="69" t="s">
        <v>158</v>
      </c>
      <c r="E200" s="69"/>
      <c r="F200" s="67"/>
      <c r="G200" s="47" t="s">
        <v>37</v>
      </c>
      <c r="H200" s="842">
        <v>0.01</v>
      </c>
      <c r="I200" s="80" t="s">
        <v>155</v>
      </c>
      <c r="J200" s="81"/>
      <c r="K200" s="81"/>
      <c r="L200" s="81"/>
      <c r="M200" s="81"/>
    </row>
    <row r="201" spans="1:13">
      <c r="A201" s="20"/>
      <c r="B201" s="38"/>
      <c r="C201" s="20"/>
      <c r="D201" s="69" t="s">
        <v>159</v>
      </c>
      <c r="E201" s="69"/>
      <c r="F201" s="67"/>
      <c r="G201" s="47" t="s">
        <v>37</v>
      </c>
      <c r="H201" s="842">
        <v>0.01</v>
      </c>
      <c r="I201" s="80" t="s">
        <v>155</v>
      </c>
      <c r="J201" s="81"/>
      <c r="K201" s="81"/>
      <c r="L201" s="81"/>
      <c r="M201" s="81"/>
    </row>
    <row r="202" spans="1:13">
      <c r="A202" s="20"/>
      <c r="B202" s="38"/>
      <c r="C202" s="20"/>
      <c r="D202" s="69" t="s">
        <v>160</v>
      </c>
      <c r="E202" s="69"/>
      <c r="F202" s="67"/>
      <c r="G202" s="82" t="s">
        <v>48</v>
      </c>
      <c r="H202" s="842">
        <v>0.01</v>
      </c>
      <c r="I202" s="41" t="s">
        <v>161</v>
      </c>
      <c r="J202" s="20"/>
      <c r="K202" s="20"/>
      <c r="L202" s="20"/>
      <c r="M202" s="20"/>
    </row>
    <row r="203" spans="1:13">
      <c r="A203" s="20"/>
      <c r="B203" s="38"/>
      <c r="C203" s="20"/>
      <c r="D203" s="69" t="s">
        <v>162</v>
      </c>
      <c r="E203" s="69"/>
      <c r="F203" s="67"/>
      <c r="G203" s="82" t="s">
        <v>48</v>
      </c>
      <c r="H203" s="842">
        <v>0.01</v>
      </c>
      <c r="I203" s="41" t="s">
        <v>20</v>
      </c>
      <c r="J203" s="20"/>
      <c r="K203" s="20"/>
      <c r="L203" s="20"/>
      <c r="M203" s="20"/>
    </row>
    <row r="204" spans="1:13">
      <c r="A204" s="20"/>
      <c r="B204" s="38"/>
      <c r="C204" s="20"/>
      <c r="D204" s="69" t="s">
        <v>163</v>
      </c>
      <c r="E204" s="69"/>
      <c r="F204" s="67"/>
      <c r="G204" s="82" t="s">
        <v>48</v>
      </c>
      <c r="H204" s="842">
        <v>0.01</v>
      </c>
      <c r="I204" s="41" t="s">
        <v>155</v>
      </c>
      <c r="J204" s="20"/>
      <c r="K204" s="20"/>
      <c r="L204" s="20"/>
      <c r="M204" s="20"/>
    </row>
    <row r="205" spans="1:13">
      <c r="A205" s="20"/>
      <c r="B205" s="38"/>
      <c r="C205" s="20"/>
      <c r="D205" s="69" t="s">
        <v>164</v>
      </c>
      <c r="E205" s="69"/>
      <c r="F205" s="67"/>
      <c r="G205" s="47" t="s">
        <v>37</v>
      </c>
      <c r="H205" s="842">
        <v>0.01</v>
      </c>
      <c r="I205" s="41" t="s">
        <v>161</v>
      </c>
      <c r="J205" s="83"/>
      <c r="K205" s="20"/>
      <c r="L205" s="20"/>
      <c r="M205" s="20"/>
    </row>
    <row r="206" spans="1:13">
      <c r="A206" s="20"/>
      <c r="B206" s="38"/>
      <c r="C206" s="20"/>
      <c r="D206" s="69" t="s">
        <v>165</v>
      </c>
      <c r="E206" s="69"/>
      <c r="F206" s="67"/>
      <c r="G206" s="47" t="s">
        <v>37</v>
      </c>
      <c r="H206" s="842">
        <v>0.01</v>
      </c>
      <c r="I206" s="41" t="s">
        <v>20</v>
      </c>
      <c r="J206" s="83"/>
      <c r="K206" s="20"/>
      <c r="L206" s="20"/>
      <c r="M206" s="20"/>
    </row>
    <row r="207" spans="1:13">
      <c r="A207" s="20"/>
      <c r="B207" s="38"/>
      <c r="C207" s="20"/>
      <c r="D207" s="69" t="s">
        <v>166</v>
      </c>
      <c r="E207" s="69"/>
      <c r="F207" s="67"/>
      <c r="G207" s="47" t="s">
        <v>37</v>
      </c>
      <c r="H207" s="842">
        <v>0.01</v>
      </c>
      <c r="I207" s="41" t="s">
        <v>155</v>
      </c>
      <c r="J207" s="83"/>
      <c r="K207" s="20"/>
      <c r="L207" s="20"/>
      <c r="M207" s="20"/>
    </row>
    <row r="208" spans="1:13">
      <c r="A208" s="20"/>
      <c r="B208" s="38"/>
      <c r="C208" s="20"/>
      <c r="D208" s="69" t="s">
        <v>167</v>
      </c>
      <c r="E208" s="69"/>
      <c r="F208" s="70"/>
      <c r="G208" s="82" t="s">
        <v>48</v>
      </c>
      <c r="H208" s="842">
        <v>0.01</v>
      </c>
      <c r="I208" s="41" t="s">
        <v>168</v>
      </c>
      <c r="J208" s="20"/>
      <c r="K208" s="20"/>
      <c r="L208" s="20"/>
      <c r="M208" s="20"/>
    </row>
    <row r="209" spans="1:13">
      <c r="A209" s="20"/>
      <c r="B209" s="64"/>
      <c r="C209" s="20"/>
      <c r="D209" s="65"/>
      <c r="E209" s="65"/>
      <c r="F209" s="84"/>
      <c r="G209" s="41"/>
      <c r="H209" s="41"/>
      <c r="I209" s="41"/>
      <c r="J209" s="20"/>
      <c r="K209" s="20"/>
      <c r="L209" s="20"/>
      <c r="M209" s="20"/>
    </row>
    <row r="210" spans="1:13">
      <c r="A210" s="20"/>
      <c r="B210" s="64"/>
      <c r="C210" s="20"/>
      <c r="D210" s="65"/>
      <c r="E210" s="65"/>
      <c r="F210" s="84"/>
      <c r="G210" s="41"/>
      <c r="H210" s="41"/>
      <c r="I210" s="41"/>
      <c r="J210" s="20"/>
      <c r="K210" s="20"/>
      <c r="L210" s="20"/>
      <c r="M210" s="20"/>
    </row>
    <row r="211" spans="1:13">
      <c r="A211" s="71"/>
      <c r="B211" s="71"/>
      <c r="C211" s="71"/>
      <c r="D211" s="36" t="s">
        <v>169</v>
      </c>
      <c r="E211" s="36"/>
      <c r="F211" s="71"/>
      <c r="G211" s="72"/>
      <c r="H211" s="72"/>
      <c r="I211" s="72"/>
      <c r="J211" s="20"/>
      <c r="K211" s="20"/>
      <c r="L211" s="20"/>
      <c r="M211" s="20"/>
    </row>
    <row r="212" spans="1:13">
      <c r="A212" s="20"/>
      <c r="B212" s="38"/>
      <c r="C212" s="20"/>
      <c r="D212" s="20"/>
      <c r="E212" s="20"/>
      <c r="F212" s="52"/>
      <c r="G212" s="20"/>
      <c r="H212" s="20"/>
      <c r="I212" s="20"/>
      <c r="J212" s="20"/>
      <c r="K212" s="20"/>
      <c r="L212" s="20"/>
      <c r="M212" s="20"/>
    </row>
    <row r="213" spans="1:13">
      <c r="A213" s="20"/>
      <c r="B213" s="38"/>
      <c r="C213" s="20"/>
      <c r="D213" s="62" t="s">
        <v>170</v>
      </c>
      <c r="E213" s="69"/>
      <c r="F213" s="67"/>
      <c r="G213" s="53" t="s">
        <v>55</v>
      </c>
      <c r="H213" s="838">
        <v>1</v>
      </c>
      <c r="I213" s="20" t="s">
        <v>171</v>
      </c>
      <c r="J213" s="20"/>
      <c r="K213" s="20"/>
      <c r="L213" s="20"/>
      <c r="M213" s="20"/>
    </row>
    <row r="214" spans="1:13">
      <c r="A214" s="20"/>
      <c r="B214" s="38"/>
      <c r="C214" s="20"/>
      <c r="D214" s="62" t="s">
        <v>172</v>
      </c>
      <c r="E214" s="69"/>
      <c r="F214" s="67"/>
      <c r="G214" s="53" t="s">
        <v>55</v>
      </c>
      <c r="H214" s="838">
        <v>1</v>
      </c>
      <c r="I214" s="20" t="s">
        <v>171</v>
      </c>
      <c r="J214" s="20"/>
      <c r="K214" s="20"/>
      <c r="L214" s="20"/>
      <c r="M214" s="20"/>
    </row>
    <row r="215" spans="1:13">
      <c r="A215" s="20"/>
      <c r="B215" s="38"/>
      <c r="C215" s="20"/>
      <c r="D215" s="62" t="s">
        <v>173</v>
      </c>
      <c r="E215" s="69"/>
      <c r="F215" s="67"/>
      <c r="G215" s="53" t="s">
        <v>55</v>
      </c>
      <c r="H215" s="838">
        <v>1</v>
      </c>
      <c r="I215" s="20" t="s">
        <v>171</v>
      </c>
      <c r="J215" s="20"/>
      <c r="K215" s="20"/>
      <c r="L215" s="20"/>
      <c r="M215" s="20"/>
    </row>
    <row r="216" spans="1:13">
      <c r="A216" s="20"/>
      <c r="B216" s="38"/>
      <c r="C216" s="20"/>
      <c r="D216" s="62" t="s">
        <v>174</v>
      </c>
      <c r="E216" s="69"/>
      <c r="F216" s="70"/>
      <c r="G216" s="53" t="s">
        <v>55</v>
      </c>
      <c r="H216" s="838">
        <v>1</v>
      </c>
      <c r="I216" s="20" t="s">
        <v>171</v>
      </c>
      <c r="J216" s="20"/>
      <c r="K216" s="20"/>
      <c r="L216" s="20"/>
      <c r="M216" s="20"/>
    </row>
    <row r="217" spans="1:13">
      <c r="A217" s="20"/>
      <c r="B217" s="64"/>
      <c r="C217" s="20"/>
      <c r="D217" s="41"/>
      <c r="E217" s="65"/>
      <c r="F217" s="84"/>
      <c r="G217" s="41"/>
      <c r="H217" s="41"/>
      <c r="I217" s="20"/>
      <c r="J217" s="20"/>
      <c r="K217" s="20"/>
      <c r="L217" s="20"/>
      <c r="M217" s="20"/>
    </row>
    <row r="218" spans="1:13">
      <c r="A218" s="20"/>
      <c r="B218" s="85"/>
      <c r="C218" s="20"/>
      <c r="D218" s="39"/>
      <c r="E218" s="39"/>
      <c r="F218" s="40"/>
      <c r="G218" s="41"/>
      <c r="H218" s="41"/>
      <c r="I218" s="20"/>
      <c r="J218" s="20"/>
      <c r="K218" s="20"/>
      <c r="L218" s="20"/>
      <c r="M218" s="20"/>
    </row>
    <row r="219" spans="1:13">
      <c r="A219" s="20"/>
      <c r="B219" s="85"/>
      <c r="C219" s="20"/>
      <c r="D219" s="41"/>
      <c r="E219" s="65"/>
      <c r="F219" s="84"/>
      <c r="G219" s="41"/>
      <c r="H219" s="41"/>
      <c r="I219" s="20"/>
      <c r="J219" s="20"/>
      <c r="K219" s="20"/>
      <c r="L219" s="20"/>
      <c r="M219" s="20"/>
    </row>
    <row r="220" spans="1:13">
      <c r="A220" s="20"/>
      <c r="B220" s="85"/>
      <c r="C220" s="20"/>
      <c r="D220" s="41"/>
      <c r="E220" s="65"/>
      <c r="F220" s="65"/>
      <c r="G220" s="41"/>
      <c r="H220" s="41"/>
      <c r="I220" s="20"/>
      <c r="J220" s="20"/>
      <c r="K220" s="20"/>
      <c r="L220" s="20"/>
      <c r="M220" s="20"/>
    </row>
    <row r="221" spans="1:13">
      <c r="A221" s="20"/>
      <c r="B221" s="85"/>
      <c r="C221" s="20"/>
      <c r="D221" s="41"/>
      <c r="E221" s="65"/>
      <c r="F221" s="65"/>
      <c r="G221" s="41"/>
      <c r="H221" s="41"/>
      <c r="I221" s="20"/>
      <c r="J221" s="20"/>
      <c r="K221" s="20"/>
      <c r="L221" s="20"/>
      <c r="M221" s="20"/>
    </row>
    <row r="222" spans="1:13">
      <c r="A222" s="20"/>
      <c r="B222" s="85"/>
      <c r="C222" s="20"/>
      <c r="D222" s="41"/>
      <c r="E222" s="65"/>
      <c r="F222" s="65"/>
      <c r="G222" s="41"/>
      <c r="H222" s="41"/>
      <c r="I222" s="20"/>
      <c r="J222" s="20"/>
      <c r="K222" s="20"/>
      <c r="L222" s="20"/>
      <c r="M222" s="20"/>
    </row>
    <row r="223" spans="1:13">
      <c r="A223" s="20"/>
      <c r="B223" s="64"/>
      <c r="C223" s="20"/>
      <c r="D223" s="41"/>
      <c r="E223" s="65"/>
      <c r="F223" s="65"/>
      <c r="G223" s="41"/>
      <c r="H223" s="41"/>
      <c r="I223" s="20"/>
      <c r="J223" s="20"/>
      <c r="K223" s="20"/>
      <c r="L223" s="20"/>
      <c r="M223" s="20"/>
    </row>
    <row r="224" spans="1:13">
      <c r="A224" s="20"/>
      <c r="B224" s="64"/>
      <c r="C224" s="20"/>
      <c r="D224" s="41"/>
      <c r="E224" s="65"/>
      <c r="F224" s="65"/>
      <c r="G224" s="41"/>
      <c r="H224" s="41"/>
      <c r="I224" s="20"/>
      <c r="J224" s="20"/>
      <c r="K224" s="20"/>
      <c r="L224" s="20"/>
      <c r="M224" s="20"/>
    </row>
    <row r="225" spans="1:13">
      <c r="A225" s="20"/>
      <c r="B225" s="64"/>
      <c r="C225" s="20"/>
      <c r="D225" s="41"/>
      <c r="E225" s="65"/>
      <c r="F225" s="65"/>
      <c r="G225" s="41"/>
      <c r="H225" s="41"/>
      <c r="I225" s="20"/>
      <c r="J225" s="20"/>
      <c r="K225" s="20"/>
      <c r="L225" s="20"/>
      <c r="M225" s="20"/>
    </row>
    <row r="226" spans="1:13">
      <c r="A226" s="20"/>
      <c r="B226" s="64"/>
      <c r="C226" s="20"/>
      <c r="D226" s="41"/>
      <c r="E226" s="65"/>
      <c r="F226" s="65"/>
      <c r="G226" s="41"/>
      <c r="H226" s="41"/>
      <c r="I226" s="20"/>
      <c r="J226" s="20"/>
      <c r="K226" s="20"/>
      <c r="L226" s="20"/>
      <c r="M226" s="20"/>
    </row>
    <row r="227" spans="1:13">
      <c r="A227" s="20"/>
      <c r="B227" s="64"/>
      <c r="C227" s="20"/>
      <c r="D227" s="41"/>
      <c r="E227" s="65"/>
      <c r="F227" s="74"/>
      <c r="G227" s="41"/>
      <c r="H227" s="41"/>
      <c r="I227" s="20"/>
      <c r="J227" s="20"/>
      <c r="K227" s="20"/>
      <c r="L227" s="20"/>
      <c r="M227" s="20"/>
    </row>
    <row r="228" spans="1:13">
      <c r="A228" s="20"/>
      <c r="B228" s="64"/>
      <c r="C228" s="20"/>
      <c r="D228" s="41"/>
      <c r="E228" s="65"/>
      <c r="F228" s="65"/>
      <c r="G228" s="41"/>
      <c r="H228" s="41"/>
      <c r="I228" s="20"/>
      <c r="J228" s="20"/>
      <c r="K228" s="20"/>
      <c r="L228" s="20"/>
      <c r="M228" s="20"/>
    </row>
    <row r="229" spans="1:13">
      <c r="A229" s="20"/>
      <c r="B229" s="64"/>
      <c r="C229" s="20"/>
      <c r="D229" s="41"/>
      <c r="E229" s="65"/>
      <c r="F229" s="65"/>
      <c r="G229" s="41"/>
      <c r="H229" s="41"/>
      <c r="I229" s="20"/>
      <c r="J229" s="20"/>
      <c r="K229" s="20"/>
      <c r="L229" s="20"/>
      <c r="M229" s="20"/>
    </row>
    <row r="230" spans="1:13">
      <c r="A230" s="20"/>
      <c r="B230" s="64"/>
      <c r="C230" s="20"/>
      <c r="D230" s="41"/>
      <c r="E230" s="65"/>
      <c r="F230" s="65"/>
      <c r="G230" s="41"/>
      <c r="H230" s="41"/>
      <c r="I230" s="20"/>
      <c r="J230" s="20"/>
      <c r="K230" s="20"/>
      <c r="L230" s="20"/>
      <c r="M230" s="20"/>
    </row>
    <row r="231" spans="1:13">
      <c r="A231" s="20"/>
      <c r="B231" s="64"/>
      <c r="C231" s="20"/>
      <c r="D231" s="41"/>
      <c r="E231" s="65"/>
      <c r="F231" s="65"/>
      <c r="G231" s="41"/>
      <c r="H231" s="41"/>
      <c r="I231" s="20"/>
      <c r="J231" s="20"/>
      <c r="K231" s="20"/>
      <c r="L231" s="20"/>
      <c r="M231" s="20"/>
    </row>
    <row r="232" spans="1:13">
      <c r="A232" s="20"/>
      <c r="B232" s="64"/>
      <c r="C232" s="20"/>
      <c r="D232" s="41"/>
      <c r="E232" s="65"/>
      <c r="F232" s="65"/>
      <c r="G232" s="41"/>
      <c r="H232" s="41"/>
      <c r="I232" s="20"/>
      <c r="J232" s="20"/>
      <c r="K232" s="20"/>
      <c r="L232" s="20"/>
      <c r="M232" s="20"/>
    </row>
    <row r="233" spans="1:13">
      <c r="A233" s="20"/>
      <c r="B233" s="64"/>
      <c r="C233" s="20"/>
      <c r="D233" s="41"/>
      <c r="E233" s="65"/>
      <c r="F233" s="65"/>
      <c r="G233" s="41"/>
      <c r="H233" s="41"/>
      <c r="I233" s="20"/>
      <c r="J233" s="20"/>
      <c r="K233" s="20"/>
      <c r="L233" s="20"/>
      <c r="M233" s="20"/>
    </row>
    <row r="234" spans="1:13">
      <c r="A234" s="20"/>
      <c r="B234" s="64"/>
      <c r="C234" s="20"/>
      <c r="D234" s="41"/>
      <c r="E234" s="65"/>
      <c r="F234" s="84"/>
      <c r="G234" s="41"/>
      <c r="H234" s="41"/>
      <c r="I234" s="20"/>
      <c r="J234" s="20"/>
      <c r="K234" s="20"/>
      <c r="L234" s="20"/>
      <c r="M234" s="20"/>
    </row>
    <row r="235" spans="1:13">
      <c r="A235" s="20"/>
      <c r="B235" s="64"/>
      <c r="C235" s="54"/>
      <c r="D235" s="20"/>
      <c r="E235" s="20"/>
      <c r="F235" s="52"/>
      <c r="G235" s="20"/>
      <c r="H235" s="20"/>
      <c r="I235" s="20"/>
      <c r="J235" s="20"/>
      <c r="K235" s="20"/>
      <c r="L235" s="20"/>
      <c r="M235" s="20"/>
    </row>
    <row r="236" spans="1:13">
      <c r="A236" s="20"/>
      <c r="B236" s="64"/>
      <c r="C236" s="20"/>
      <c r="D236" s="20"/>
      <c r="E236" s="20"/>
      <c r="F236" s="52"/>
      <c r="G236" s="20"/>
      <c r="H236" s="20"/>
      <c r="I236" s="20"/>
      <c r="J236" s="20"/>
      <c r="K236" s="20"/>
      <c r="L236" s="20"/>
      <c r="M236" s="20"/>
    </row>
    <row r="237" spans="1:13">
      <c r="A237" s="20"/>
      <c r="B237" s="64"/>
      <c r="C237" s="20"/>
      <c r="D237" s="20"/>
      <c r="E237" s="20"/>
      <c r="F237" s="52"/>
      <c r="G237" s="20"/>
      <c r="H237" s="20"/>
      <c r="I237" s="20"/>
      <c r="J237" s="20"/>
      <c r="K237" s="20"/>
      <c r="L237" s="20"/>
      <c r="M237" s="20"/>
    </row>
    <row r="238" spans="1:13">
      <c r="A238" s="71"/>
      <c r="B238" s="71"/>
      <c r="C238" s="71"/>
      <c r="D238" s="36" t="s">
        <v>175</v>
      </c>
      <c r="E238" s="36"/>
      <c r="F238" s="71"/>
      <c r="G238" s="72"/>
      <c r="H238" s="72"/>
      <c r="I238" s="72"/>
      <c r="J238" s="20"/>
      <c r="K238" s="20"/>
      <c r="L238" s="20"/>
      <c r="M238" s="20"/>
    </row>
    <row r="239" spans="1:13">
      <c r="A239" s="20"/>
      <c r="B239" s="38"/>
      <c r="C239" s="20"/>
      <c r="D239" s="20"/>
      <c r="E239" s="20"/>
      <c r="F239" s="52"/>
      <c r="G239" s="41"/>
      <c r="H239" s="41"/>
      <c r="I239" s="41"/>
      <c r="J239" s="20"/>
      <c r="K239" s="20"/>
      <c r="L239" s="20"/>
      <c r="M239" s="20"/>
    </row>
    <row r="240" spans="1:13">
      <c r="A240" s="20"/>
      <c r="B240" s="38"/>
      <c r="C240" s="20"/>
      <c r="D240" s="20"/>
      <c r="E240" s="20"/>
      <c r="F240" s="52"/>
      <c r="G240" s="41"/>
      <c r="H240" s="41"/>
      <c r="I240" s="41"/>
      <c r="J240" s="20"/>
      <c r="K240" s="20"/>
      <c r="L240" s="20"/>
      <c r="M240" s="20"/>
    </row>
    <row r="241" spans="1:13">
      <c r="A241" s="20"/>
      <c r="B241" s="38"/>
      <c r="C241" s="20"/>
      <c r="D241" s="75" t="s">
        <v>176</v>
      </c>
      <c r="E241" s="75" t="s">
        <v>177</v>
      </c>
      <c r="F241" s="46" t="s">
        <v>58</v>
      </c>
      <c r="G241" s="53" t="s">
        <v>55</v>
      </c>
      <c r="H241" s="838"/>
      <c r="I241" s="41" t="s">
        <v>38</v>
      </c>
      <c r="J241" s="20"/>
      <c r="K241" s="20"/>
      <c r="L241" s="20"/>
      <c r="M241" s="20"/>
    </row>
    <row r="242" spans="1:13">
      <c r="A242" s="20"/>
      <c r="B242" s="38"/>
      <c r="C242" s="20"/>
      <c r="D242" s="75" t="s">
        <v>176</v>
      </c>
      <c r="E242" s="75" t="s">
        <v>177</v>
      </c>
      <c r="F242" s="77" t="s">
        <v>116</v>
      </c>
      <c r="G242" s="53" t="s">
        <v>55</v>
      </c>
      <c r="H242" s="838">
        <v>6.8616963171138705</v>
      </c>
      <c r="I242" s="41" t="s">
        <v>38</v>
      </c>
      <c r="J242" s="20"/>
      <c r="K242" s="20"/>
      <c r="L242" s="20"/>
      <c r="M242" s="20"/>
    </row>
    <row r="243" spans="1:13">
      <c r="A243" s="20"/>
      <c r="B243" s="38"/>
      <c r="C243" s="20"/>
      <c r="D243" s="75" t="s">
        <v>176</v>
      </c>
      <c r="E243" s="75" t="s">
        <v>177</v>
      </c>
      <c r="F243" s="77" t="s">
        <v>39</v>
      </c>
      <c r="G243" s="53" t="s">
        <v>55</v>
      </c>
      <c r="H243" s="838">
        <v>4.1346470263076487</v>
      </c>
      <c r="I243" s="41" t="s">
        <v>38</v>
      </c>
      <c r="J243" s="20"/>
      <c r="K243" s="20"/>
      <c r="L243" s="20"/>
      <c r="M243" s="20"/>
    </row>
    <row r="244" spans="1:13">
      <c r="A244" s="20"/>
      <c r="B244" s="38"/>
      <c r="C244" s="20"/>
      <c r="D244" s="75" t="s">
        <v>176</v>
      </c>
      <c r="E244" s="75" t="s">
        <v>178</v>
      </c>
      <c r="F244" s="46" t="s">
        <v>58</v>
      </c>
      <c r="G244" s="53" t="s">
        <v>55</v>
      </c>
      <c r="H244" s="838"/>
      <c r="I244" s="41" t="s">
        <v>38</v>
      </c>
      <c r="J244" s="20"/>
      <c r="K244" s="20"/>
      <c r="L244" s="20"/>
      <c r="M244" s="20"/>
    </row>
    <row r="245" spans="1:13">
      <c r="A245" s="20"/>
      <c r="B245" s="38"/>
      <c r="C245" s="20"/>
      <c r="D245" s="75" t="s">
        <v>176</v>
      </c>
      <c r="E245" s="75" t="s">
        <v>178</v>
      </c>
      <c r="F245" s="77" t="s">
        <v>116</v>
      </c>
      <c r="G245" s="53" t="s">
        <v>55</v>
      </c>
      <c r="H245" s="838">
        <v>4.2227333682915926</v>
      </c>
      <c r="I245" s="41" t="s">
        <v>38</v>
      </c>
      <c r="J245" s="20"/>
      <c r="K245" s="20"/>
      <c r="L245" s="20"/>
      <c r="M245" s="20"/>
    </row>
    <row r="246" spans="1:13">
      <c r="A246" s="20"/>
      <c r="B246" s="38"/>
      <c r="C246" s="20"/>
      <c r="D246" s="75" t="s">
        <v>176</v>
      </c>
      <c r="E246" s="75" t="s">
        <v>178</v>
      </c>
      <c r="F246" s="77" t="s">
        <v>39</v>
      </c>
      <c r="G246" s="53" t="s">
        <v>55</v>
      </c>
      <c r="H246" s="838">
        <v>2.6369925819343591</v>
      </c>
      <c r="I246" s="41" t="s">
        <v>38</v>
      </c>
      <c r="J246" s="20"/>
      <c r="K246" s="20"/>
      <c r="L246" s="20"/>
      <c r="M246" s="20"/>
    </row>
    <row r="247" spans="1:13">
      <c r="A247" s="20"/>
      <c r="B247" s="64"/>
      <c r="C247" s="20"/>
      <c r="D247" s="20"/>
      <c r="E247" s="20"/>
      <c r="F247" s="52"/>
      <c r="G247" s="41"/>
      <c r="H247" s="41"/>
      <c r="I247" s="41"/>
      <c r="J247" s="20"/>
      <c r="K247" s="20"/>
      <c r="L247" s="20"/>
      <c r="M247" s="20"/>
    </row>
    <row r="248" spans="1:13">
      <c r="A248" s="20"/>
      <c r="B248" s="64"/>
      <c r="C248" s="20"/>
      <c r="D248" s="20"/>
      <c r="E248" s="20"/>
      <c r="F248" s="52"/>
      <c r="G248" s="41"/>
      <c r="H248" s="41"/>
      <c r="I248" s="41"/>
      <c r="J248" s="20"/>
      <c r="K248" s="20"/>
      <c r="L248" s="20"/>
      <c r="M248" s="20"/>
    </row>
    <row r="249" spans="1:13">
      <c r="A249" s="71"/>
      <c r="B249" s="71"/>
      <c r="C249" s="71"/>
      <c r="D249" s="36" t="s">
        <v>179</v>
      </c>
      <c r="E249" s="36"/>
      <c r="F249" s="71"/>
      <c r="G249" s="72"/>
      <c r="H249" s="72"/>
      <c r="I249" s="72"/>
      <c r="J249" s="20"/>
      <c r="K249" s="20"/>
      <c r="L249" s="20"/>
      <c r="M249" s="20"/>
    </row>
    <row r="250" spans="1:13">
      <c r="A250" s="20"/>
      <c r="B250" s="38"/>
      <c r="C250" s="20"/>
      <c r="D250" s="20"/>
      <c r="E250" s="20"/>
      <c r="F250" s="52"/>
      <c r="G250" s="41"/>
      <c r="H250" s="41"/>
      <c r="I250" s="41"/>
      <c r="J250" s="20"/>
      <c r="K250" s="20"/>
      <c r="L250" s="20"/>
      <c r="M250" s="20"/>
    </row>
    <row r="251" spans="1:13">
      <c r="A251" s="20"/>
      <c r="B251" s="64"/>
      <c r="C251" s="20"/>
      <c r="D251" s="75" t="s">
        <v>180</v>
      </c>
      <c r="E251" s="75" t="s">
        <v>177</v>
      </c>
      <c r="F251" s="46" t="s">
        <v>58</v>
      </c>
      <c r="G251" s="53" t="s">
        <v>55</v>
      </c>
      <c r="H251" s="838"/>
      <c r="I251" s="41" t="s">
        <v>38</v>
      </c>
      <c r="J251" s="20"/>
      <c r="K251" s="73"/>
      <c r="L251" s="20"/>
      <c r="M251" s="20"/>
    </row>
    <row r="252" spans="1:13">
      <c r="A252" s="20"/>
      <c r="B252" s="64"/>
      <c r="C252" s="20"/>
      <c r="D252" s="75" t="s">
        <v>180</v>
      </c>
      <c r="E252" s="75" t="s">
        <v>177</v>
      </c>
      <c r="F252" s="77" t="s">
        <v>116</v>
      </c>
      <c r="G252" s="53" t="s">
        <v>55</v>
      </c>
      <c r="H252" s="838">
        <v>199.15703052756487</v>
      </c>
      <c r="I252" s="41" t="s">
        <v>38</v>
      </c>
      <c r="J252" s="20"/>
      <c r="K252" s="73"/>
      <c r="L252" s="20"/>
      <c r="M252" s="20"/>
    </row>
    <row r="253" spans="1:13">
      <c r="A253" s="20"/>
      <c r="B253" s="64"/>
      <c r="C253" s="20"/>
      <c r="D253" s="75" t="s">
        <v>180</v>
      </c>
      <c r="E253" s="75" t="s">
        <v>177</v>
      </c>
      <c r="F253" s="77" t="s">
        <v>39</v>
      </c>
      <c r="G253" s="53" t="s">
        <v>55</v>
      </c>
      <c r="H253" s="838">
        <v>83.171815669856613</v>
      </c>
      <c r="I253" s="41" t="s">
        <v>38</v>
      </c>
      <c r="J253" s="20"/>
      <c r="K253" s="73"/>
      <c r="L253" s="20"/>
      <c r="M253" s="20"/>
    </row>
    <row r="254" spans="1:13">
      <c r="A254" s="20"/>
      <c r="B254" s="64"/>
      <c r="C254" s="20"/>
      <c r="D254" s="75" t="s">
        <v>181</v>
      </c>
      <c r="E254" s="75" t="s">
        <v>177</v>
      </c>
      <c r="F254" s="46" t="s">
        <v>58</v>
      </c>
      <c r="G254" s="53" t="s">
        <v>55</v>
      </c>
      <c r="H254" s="838"/>
      <c r="I254" s="41" t="s">
        <v>38</v>
      </c>
      <c r="J254" s="20"/>
      <c r="K254" s="73"/>
      <c r="L254" s="20"/>
      <c r="M254" s="20"/>
    </row>
    <row r="255" spans="1:13">
      <c r="A255" s="20"/>
      <c r="B255" s="64"/>
      <c r="C255" s="20"/>
      <c r="D255" s="75" t="s">
        <v>181</v>
      </c>
      <c r="E255" s="75" t="s">
        <v>177</v>
      </c>
      <c r="F255" s="77" t="s">
        <v>116</v>
      </c>
      <c r="G255" s="53" t="s">
        <v>55</v>
      </c>
      <c r="H255" s="838">
        <v>398.31406105512974</v>
      </c>
      <c r="I255" s="41" t="s">
        <v>38</v>
      </c>
      <c r="J255" s="20"/>
      <c r="K255" s="73"/>
      <c r="L255" s="20"/>
      <c r="M255" s="20"/>
    </row>
    <row r="256" spans="1:13">
      <c r="A256" s="20"/>
      <c r="B256" s="64"/>
      <c r="C256" s="20"/>
      <c r="D256" s="75" t="s">
        <v>181</v>
      </c>
      <c r="E256" s="75" t="s">
        <v>177</v>
      </c>
      <c r="F256" s="77" t="s">
        <v>39</v>
      </c>
      <c r="G256" s="53" t="s">
        <v>55</v>
      </c>
      <c r="H256" s="838">
        <v>166.34363133971323</v>
      </c>
      <c r="I256" s="41" t="s">
        <v>38</v>
      </c>
      <c r="J256" s="20"/>
      <c r="K256" s="73"/>
      <c r="L256" s="20"/>
      <c r="M256" s="20"/>
    </row>
    <row r="257" spans="1:13">
      <c r="A257" s="20"/>
      <c r="B257" s="64"/>
      <c r="C257" s="20"/>
      <c r="D257" s="20"/>
      <c r="E257" s="20"/>
      <c r="F257" s="52"/>
      <c r="G257" s="41"/>
      <c r="H257" s="41"/>
      <c r="I257" s="41"/>
      <c r="J257" s="20"/>
      <c r="K257" s="20"/>
      <c r="L257" s="20"/>
      <c r="M257" s="20"/>
    </row>
    <row r="258" spans="1:13">
      <c r="A258" s="71"/>
      <c r="B258" s="71"/>
      <c r="C258" s="71"/>
      <c r="D258" s="36" t="s">
        <v>182</v>
      </c>
      <c r="E258" s="36"/>
      <c r="F258" s="71"/>
      <c r="G258" s="72"/>
      <c r="H258" s="72"/>
      <c r="I258" s="72"/>
      <c r="J258" s="20"/>
      <c r="K258" s="20"/>
      <c r="L258" s="20"/>
      <c r="M258" s="20"/>
    </row>
    <row r="259" spans="1:13">
      <c r="A259" s="20"/>
      <c r="B259" s="38"/>
      <c r="C259" s="20"/>
      <c r="D259" s="20"/>
      <c r="E259" s="20"/>
      <c r="F259" s="52"/>
      <c r="G259" s="41"/>
      <c r="H259" s="41"/>
      <c r="I259" s="41"/>
      <c r="J259" s="20"/>
      <c r="K259" s="20"/>
      <c r="L259" s="20"/>
      <c r="M259" s="20"/>
    </row>
    <row r="260" spans="1:13">
      <c r="A260" s="20"/>
      <c r="B260" s="38"/>
      <c r="C260" s="20"/>
      <c r="D260" s="51"/>
      <c r="E260" s="51"/>
      <c r="F260" s="52"/>
      <c r="G260" s="41"/>
      <c r="H260" s="41"/>
      <c r="I260" s="41"/>
      <c r="J260" s="20"/>
      <c r="K260" s="20"/>
      <c r="L260" s="20"/>
      <c r="M260" s="20"/>
    </row>
    <row r="261" spans="1:13">
      <c r="A261" s="20"/>
      <c r="B261" s="38"/>
      <c r="C261" s="20"/>
      <c r="D261" s="75" t="s">
        <v>183</v>
      </c>
      <c r="E261" s="75" t="s">
        <v>184</v>
      </c>
      <c r="F261" s="46" t="s">
        <v>58</v>
      </c>
      <c r="G261" s="53" t="s">
        <v>55</v>
      </c>
      <c r="H261" s="53"/>
      <c r="I261" s="41" t="s">
        <v>38</v>
      </c>
      <c r="J261" s="20"/>
      <c r="K261" s="20"/>
      <c r="L261" s="20"/>
      <c r="M261" s="20"/>
    </row>
    <row r="262" spans="1:13">
      <c r="A262" s="20"/>
      <c r="B262" s="38"/>
      <c r="C262" s="20"/>
      <c r="D262" s="75" t="s">
        <v>183</v>
      </c>
      <c r="E262" s="75" t="s">
        <v>184</v>
      </c>
      <c r="F262" s="77" t="s">
        <v>116</v>
      </c>
      <c r="G262" s="53" t="s">
        <v>55</v>
      </c>
      <c r="H262" s="53"/>
      <c r="I262" s="41" t="s">
        <v>38</v>
      </c>
      <c r="J262" s="20"/>
      <c r="K262" s="20"/>
      <c r="L262" s="20"/>
      <c r="M262" s="20"/>
    </row>
    <row r="263" spans="1:13">
      <c r="A263" s="20"/>
      <c r="B263" s="38"/>
      <c r="C263" s="20"/>
      <c r="D263" s="75" t="s">
        <v>183</v>
      </c>
      <c r="E263" s="75" t="s">
        <v>184</v>
      </c>
      <c r="F263" s="77" t="s">
        <v>39</v>
      </c>
      <c r="G263" s="53" t="s">
        <v>55</v>
      </c>
      <c r="H263" s="838">
        <v>275.27412035865683</v>
      </c>
      <c r="I263" s="41" t="s">
        <v>38</v>
      </c>
      <c r="J263" s="20"/>
      <c r="K263" s="20"/>
      <c r="L263" s="20"/>
      <c r="M263" s="20"/>
    </row>
    <row r="264" spans="1:13">
      <c r="A264" s="20"/>
      <c r="B264" s="38"/>
      <c r="C264" s="20"/>
      <c r="D264" s="20"/>
      <c r="E264" s="20"/>
      <c r="F264" s="52"/>
      <c r="G264" s="41"/>
      <c r="H264" s="41"/>
      <c r="I264" s="41"/>
      <c r="J264" s="20"/>
      <c r="K264" s="20"/>
      <c r="L264" s="20"/>
      <c r="M264" s="20"/>
    </row>
    <row r="265" spans="1:13">
      <c r="A265" s="20"/>
      <c r="B265" s="38"/>
      <c r="C265" s="20"/>
      <c r="D265" s="75" t="s">
        <v>183</v>
      </c>
      <c r="E265" s="75" t="s">
        <v>185</v>
      </c>
      <c r="F265" s="46" t="s">
        <v>58</v>
      </c>
      <c r="G265" s="53" t="s">
        <v>55</v>
      </c>
      <c r="H265" s="53"/>
      <c r="I265" s="41" t="s">
        <v>38</v>
      </c>
      <c r="J265" s="20"/>
      <c r="K265" s="20"/>
      <c r="L265" s="20"/>
      <c r="M265" s="20"/>
    </row>
    <row r="266" spans="1:13">
      <c r="A266" s="20"/>
      <c r="B266" s="38"/>
      <c r="C266" s="20"/>
      <c r="D266" s="75" t="s">
        <v>183</v>
      </c>
      <c r="E266" s="75" t="s">
        <v>185</v>
      </c>
      <c r="F266" s="77" t="s">
        <v>116</v>
      </c>
      <c r="G266" s="53" t="s">
        <v>55</v>
      </c>
      <c r="H266" s="53"/>
      <c r="I266" s="41" t="s">
        <v>38</v>
      </c>
      <c r="J266" s="20"/>
      <c r="K266" s="20"/>
      <c r="L266" s="20"/>
      <c r="M266" s="20"/>
    </row>
    <row r="267" spans="1:13">
      <c r="A267" s="20"/>
      <c r="B267" s="38"/>
      <c r="C267" s="20"/>
      <c r="D267" s="75" t="s">
        <v>183</v>
      </c>
      <c r="E267" s="75" t="s">
        <v>185</v>
      </c>
      <c r="F267" s="77" t="s">
        <v>39</v>
      </c>
      <c r="G267" s="53" t="s">
        <v>55</v>
      </c>
      <c r="H267" s="838">
        <v>466.21950768465183</v>
      </c>
      <c r="I267" s="41" t="s">
        <v>38</v>
      </c>
      <c r="J267" s="20"/>
      <c r="K267" s="20"/>
      <c r="L267" s="20"/>
      <c r="M267" s="20"/>
    </row>
    <row r="268" spans="1:13">
      <c r="A268" s="20"/>
      <c r="B268" s="38"/>
      <c r="C268" s="20"/>
      <c r="D268" s="20"/>
      <c r="E268" s="20"/>
      <c r="F268" s="52"/>
      <c r="G268" s="41"/>
      <c r="H268" s="41"/>
      <c r="I268" s="41"/>
      <c r="J268" s="20"/>
      <c r="K268" s="20"/>
      <c r="L268" s="20"/>
      <c r="M268" s="20"/>
    </row>
    <row r="269" spans="1:13">
      <c r="A269" s="20"/>
      <c r="B269" s="38"/>
      <c r="C269" s="20"/>
      <c r="D269" s="75" t="s">
        <v>183</v>
      </c>
      <c r="E269" s="75" t="s">
        <v>186</v>
      </c>
      <c r="F269" s="77" t="s">
        <v>187</v>
      </c>
      <c r="G269" s="53" t="s">
        <v>55</v>
      </c>
      <c r="H269" s="838">
        <v>145.09685558015997</v>
      </c>
      <c r="I269" s="41" t="s">
        <v>38</v>
      </c>
      <c r="J269" s="20"/>
      <c r="K269" s="20"/>
      <c r="L269" s="20"/>
      <c r="M269" s="20"/>
    </row>
    <row r="270" spans="1:13">
      <c r="A270" s="20"/>
      <c r="B270" s="64"/>
      <c r="C270" s="20"/>
      <c r="D270" s="20"/>
      <c r="E270" s="20"/>
      <c r="F270" s="52"/>
      <c r="G270" s="41"/>
      <c r="H270" s="41"/>
      <c r="I270" s="41"/>
      <c r="J270" s="20"/>
      <c r="K270" s="20"/>
      <c r="L270" s="20"/>
      <c r="M270" s="20"/>
    </row>
    <row r="271" spans="1:13">
      <c r="A271" s="71"/>
      <c r="B271" s="71"/>
      <c r="C271" s="71"/>
      <c r="D271" s="36" t="s">
        <v>188</v>
      </c>
      <c r="E271" s="36"/>
      <c r="F271" s="71"/>
      <c r="G271" s="72"/>
      <c r="H271" s="72"/>
      <c r="I271" s="72"/>
      <c r="J271" s="20"/>
      <c r="K271" s="20"/>
      <c r="L271" s="20"/>
      <c r="M271" s="20"/>
    </row>
    <row r="272" spans="1:13">
      <c r="A272" s="20"/>
      <c r="B272" s="38"/>
      <c r="C272" s="20"/>
      <c r="D272" s="20"/>
      <c r="E272" s="20"/>
      <c r="F272" s="52"/>
      <c r="G272" s="41"/>
      <c r="H272" s="41"/>
      <c r="I272" s="41"/>
      <c r="J272" s="20"/>
      <c r="K272" s="20"/>
      <c r="L272" s="20"/>
      <c r="M272" s="20"/>
    </row>
    <row r="273" spans="1:13">
      <c r="A273" s="20"/>
      <c r="B273" s="38"/>
      <c r="C273" s="20"/>
      <c r="D273" s="75" t="s">
        <v>176</v>
      </c>
      <c r="E273" s="75"/>
      <c r="F273" s="46" t="s">
        <v>58</v>
      </c>
      <c r="G273" s="53" t="s">
        <v>55</v>
      </c>
      <c r="H273" s="53"/>
      <c r="I273" s="41" t="s">
        <v>38</v>
      </c>
      <c r="J273" s="20"/>
      <c r="K273" s="20"/>
      <c r="L273" s="20"/>
      <c r="M273" s="20"/>
    </row>
    <row r="274" spans="1:13">
      <c r="A274" s="20"/>
      <c r="B274" s="38"/>
      <c r="C274" s="20"/>
      <c r="D274" s="75" t="s">
        <v>176</v>
      </c>
      <c r="E274" s="75"/>
      <c r="F274" s="77" t="s">
        <v>116</v>
      </c>
      <c r="G274" s="53" t="s">
        <v>55</v>
      </c>
      <c r="H274" s="53"/>
      <c r="I274" s="41" t="s">
        <v>38</v>
      </c>
      <c r="J274" s="20"/>
      <c r="K274" s="20"/>
      <c r="L274" s="20"/>
      <c r="M274" s="20"/>
    </row>
    <row r="275" spans="1:13">
      <c r="A275" s="20"/>
      <c r="B275" s="38"/>
      <c r="C275" s="20"/>
      <c r="D275" s="75" t="s">
        <v>176</v>
      </c>
      <c r="E275" s="75"/>
      <c r="F275" s="77" t="s">
        <v>39</v>
      </c>
      <c r="G275" s="53" t="s">
        <v>55</v>
      </c>
      <c r="H275" s="53"/>
      <c r="I275" s="41" t="s">
        <v>38</v>
      </c>
      <c r="J275" s="20"/>
      <c r="K275" s="20"/>
      <c r="L275" s="20"/>
      <c r="M275" s="20"/>
    </row>
    <row r="276" spans="1:13">
      <c r="A276" s="20"/>
      <c r="B276" s="64"/>
      <c r="C276" s="20"/>
      <c r="D276" s="20"/>
      <c r="E276" s="20"/>
      <c r="F276" s="52"/>
      <c r="G276" s="41"/>
      <c r="H276" s="41"/>
      <c r="I276" s="41"/>
      <c r="J276" s="20"/>
      <c r="K276" s="20"/>
      <c r="L276" s="20"/>
      <c r="M276" s="20"/>
    </row>
    <row r="277" spans="1:13">
      <c r="A277" s="20"/>
      <c r="B277" s="64"/>
      <c r="C277" s="20"/>
      <c r="D277" s="20"/>
      <c r="E277" s="20"/>
      <c r="F277" s="52"/>
      <c r="G277" s="41"/>
      <c r="H277" s="41"/>
      <c r="I277" s="41"/>
      <c r="J277" s="20"/>
      <c r="K277" s="20"/>
      <c r="L277" s="20"/>
      <c r="M277" s="20"/>
    </row>
    <row r="278" spans="1:13">
      <c r="A278" s="71"/>
      <c r="B278" s="71"/>
      <c r="C278" s="71"/>
      <c r="D278" s="36" t="s">
        <v>189</v>
      </c>
      <c r="E278" s="36"/>
      <c r="F278" s="71"/>
      <c r="G278" s="72"/>
      <c r="H278" s="72"/>
      <c r="I278" s="72"/>
      <c r="J278" s="20"/>
      <c r="K278" s="20"/>
      <c r="L278" s="20"/>
      <c r="M278" s="20"/>
    </row>
    <row r="279" spans="1:13">
      <c r="A279" s="20"/>
      <c r="B279" s="38"/>
      <c r="C279" s="20"/>
      <c r="D279" s="20"/>
      <c r="E279" s="20"/>
      <c r="F279" s="52"/>
      <c r="G279" s="41"/>
      <c r="H279" s="41"/>
      <c r="I279" s="41"/>
      <c r="J279" s="20"/>
      <c r="K279" s="20"/>
      <c r="L279" s="20"/>
      <c r="M279" s="20"/>
    </row>
    <row r="280" spans="1:13">
      <c r="A280" s="20"/>
      <c r="B280" s="38"/>
      <c r="C280" s="20"/>
      <c r="D280" s="75" t="s">
        <v>190</v>
      </c>
      <c r="E280" s="75"/>
      <c r="F280" s="46"/>
      <c r="G280" s="53" t="s">
        <v>55</v>
      </c>
      <c r="H280" s="838">
        <v>4.2675448544998167</v>
      </c>
      <c r="I280" s="41" t="s">
        <v>38</v>
      </c>
      <c r="J280" s="20"/>
      <c r="K280" s="20"/>
      <c r="L280" s="20"/>
      <c r="M280" s="20"/>
    </row>
    <row r="281" spans="1:13">
      <c r="A281" s="20"/>
      <c r="B281" s="38"/>
      <c r="C281" s="20"/>
      <c r="D281" s="75" t="s">
        <v>191</v>
      </c>
      <c r="E281" s="75"/>
      <c r="F281" s="77"/>
      <c r="G281" s="53" t="s">
        <v>55</v>
      </c>
      <c r="H281" s="838">
        <v>2.1042757176491143</v>
      </c>
      <c r="I281" s="41" t="s">
        <v>38</v>
      </c>
      <c r="J281" s="20"/>
      <c r="K281" s="20"/>
      <c r="L281" s="20"/>
      <c r="M281" s="20"/>
    </row>
    <row r="282" spans="1:13">
      <c r="A282" s="20"/>
      <c r="B282" s="38"/>
      <c r="C282" s="20"/>
      <c r="D282" s="75" t="s">
        <v>192</v>
      </c>
      <c r="E282" s="75"/>
      <c r="F282" s="77"/>
      <c r="G282" s="53" t="s">
        <v>55</v>
      </c>
      <c r="H282" s="838">
        <v>5.1354001579072461</v>
      </c>
      <c r="I282" s="41" t="s">
        <v>38</v>
      </c>
      <c r="J282" s="20"/>
      <c r="K282" s="20"/>
      <c r="L282" s="20"/>
      <c r="M282" s="20"/>
    </row>
    <row r="283" spans="1:13">
      <c r="A283" s="20"/>
      <c r="B283" s="38"/>
      <c r="C283" s="20"/>
      <c r="D283" s="75"/>
      <c r="E283" s="75"/>
      <c r="F283" s="77"/>
      <c r="G283" s="53"/>
      <c r="H283" s="53"/>
      <c r="I283" s="41"/>
      <c r="J283" s="20"/>
      <c r="K283" s="20"/>
      <c r="L283" s="20"/>
      <c r="M283" s="20"/>
    </row>
    <row r="284" spans="1:13">
      <c r="A284" s="20"/>
      <c r="B284" s="38"/>
      <c r="C284" s="20"/>
      <c r="D284" s="75" t="s">
        <v>193</v>
      </c>
      <c r="E284" s="86"/>
      <c r="F284" s="87"/>
      <c r="G284" s="88" t="s">
        <v>55</v>
      </c>
      <c r="H284" s="843">
        <v>0.11771561508186101</v>
      </c>
      <c r="I284" s="41" t="s">
        <v>38</v>
      </c>
      <c r="J284" s="20"/>
      <c r="K284" s="20"/>
      <c r="L284" s="20"/>
      <c r="M284" s="20"/>
    </row>
    <row r="285" spans="1:13">
      <c r="A285" s="20"/>
      <c r="B285" s="38"/>
      <c r="C285" s="20"/>
      <c r="D285" s="75" t="s">
        <v>194</v>
      </c>
      <c r="E285" s="86"/>
      <c r="F285" s="87"/>
      <c r="G285" s="88" t="s">
        <v>55</v>
      </c>
      <c r="H285" s="843">
        <v>1.7700488376116201</v>
      </c>
      <c r="I285" s="41" t="s">
        <v>38</v>
      </c>
      <c r="J285" s="20"/>
      <c r="K285" s="20"/>
      <c r="L285" s="20"/>
      <c r="M285" s="20"/>
    </row>
    <row r="286" spans="1:13">
      <c r="A286" s="20"/>
      <c r="B286" s="64"/>
      <c r="C286" s="20"/>
      <c r="D286" s="89"/>
      <c r="E286" s="89"/>
      <c r="F286" s="52"/>
      <c r="G286" s="90"/>
      <c r="H286" s="90"/>
      <c r="I286" s="41"/>
      <c r="J286" s="20"/>
      <c r="K286" s="20"/>
      <c r="L286" s="20"/>
      <c r="M286" s="20"/>
    </row>
    <row r="287" spans="1:13">
      <c r="A287" s="71"/>
      <c r="B287" s="71"/>
      <c r="C287" s="71"/>
      <c r="D287" s="36" t="s">
        <v>195</v>
      </c>
      <c r="E287" s="36"/>
      <c r="F287" s="71"/>
      <c r="G287" s="72"/>
      <c r="H287" s="72"/>
      <c r="I287" s="72"/>
      <c r="J287" s="20"/>
      <c r="K287" s="20"/>
      <c r="L287" s="20"/>
      <c r="M287" s="20"/>
    </row>
    <row r="288" spans="1:13">
      <c r="A288" s="20"/>
      <c r="B288" s="38"/>
      <c r="C288" s="20"/>
      <c r="D288" s="20"/>
      <c r="E288" s="20"/>
      <c r="F288" s="52"/>
      <c r="G288" s="41"/>
      <c r="H288" s="41"/>
      <c r="I288" s="41"/>
      <c r="J288" s="20"/>
      <c r="K288" s="20"/>
      <c r="L288" s="20"/>
      <c r="M288" s="20"/>
    </row>
    <row r="289" spans="1:13">
      <c r="A289" s="20"/>
      <c r="B289" s="38"/>
      <c r="C289" s="20"/>
      <c r="D289" s="75" t="s">
        <v>196</v>
      </c>
      <c r="E289" s="75"/>
      <c r="F289" s="46"/>
      <c r="G289" s="53" t="s">
        <v>55</v>
      </c>
      <c r="H289" s="838">
        <v>12.493777001041977</v>
      </c>
      <c r="I289" s="41" t="s">
        <v>38</v>
      </c>
      <c r="J289" s="20"/>
      <c r="K289" s="20"/>
      <c r="L289" s="20"/>
      <c r="M289" s="20"/>
    </row>
    <row r="290" spans="1:13">
      <c r="A290" s="20"/>
      <c r="B290" s="38"/>
      <c r="C290" s="20"/>
      <c r="D290" s="75" t="s">
        <v>197</v>
      </c>
      <c r="E290" s="75"/>
      <c r="F290" s="77"/>
      <c r="G290" s="53" t="s">
        <v>55</v>
      </c>
      <c r="H290" s="838">
        <v>12.493777001041977</v>
      </c>
      <c r="I290" s="41" t="s">
        <v>38</v>
      </c>
      <c r="J290" s="20"/>
      <c r="K290" s="20"/>
      <c r="L290" s="20"/>
      <c r="M290" s="20"/>
    </row>
    <row r="291" spans="1:13">
      <c r="A291" s="20"/>
      <c r="B291" s="38"/>
      <c r="C291" s="20"/>
      <c r="D291" s="75" t="s">
        <v>198</v>
      </c>
      <c r="E291" s="75"/>
      <c r="F291" s="77"/>
      <c r="G291" s="53" t="s">
        <v>55</v>
      </c>
      <c r="H291" s="838">
        <v>12.493777001041977</v>
      </c>
      <c r="I291" s="41" t="s">
        <v>38</v>
      </c>
      <c r="J291" s="20"/>
      <c r="K291" s="20"/>
      <c r="L291" s="20"/>
      <c r="M291" s="20"/>
    </row>
    <row r="292" spans="1:13">
      <c r="A292" s="20"/>
      <c r="B292" s="38"/>
      <c r="C292" s="20"/>
      <c r="D292" s="91" t="s">
        <v>199</v>
      </c>
      <c r="E292" s="75"/>
      <c r="F292" s="77"/>
      <c r="G292" s="53" t="s">
        <v>55</v>
      </c>
      <c r="H292" s="838">
        <v>38.159999999999997</v>
      </c>
      <c r="I292" s="41" t="s">
        <v>38</v>
      </c>
      <c r="J292" s="20"/>
      <c r="K292" s="20"/>
      <c r="L292" s="20"/>
      <c r="M292" s="20"/>
    </row>
    <row r="293" spans="1:13">
      <c r="A293" s="20"/>
      <c r="B293" s="38"/>
      <c r="C293" s="20"/>
      <c r="D293" s="75"/>
      <c r="E293" s="75"/>
      <c r="F293" s="77"/>
      <c r="G293" s="53" t="s">
        <v>55</v>
      </c>
      <c r="H293" s="53"/>
      <c r="I293" s="41" t="s">
        <v>38</v>
      </c>
      <c r="J293" s="20"/>
      <c r="K293" s="20"/>
      <c r="L293" s="20"/>
      <c r="M293" s="20"/>
    </row>
    <row r="294" spans="1:13">
      <c r="A294" s="20"/>
      <c r="B294" s="38"/>
      <c r="C294" s="20"/>
      <c r="D294" s="75"/>
      <c r="E294" s="75"/>
      <c r="F294" s="77"/>
      <c r="G294" s="53" t="s">
        <v>55</v>
      </c>
      <c r="H294" s="53"/>
      <c r="I294" s="41" t="s">
        <v>38</v>
      </c>
      <c r="J294" s="20"/>
      <c r="K294" s="20"/>
      <c r="L294" s="20"/>
      <c r="M294" s="20"/>
    </row>
    <row r="295" spans="1:13">
      <c r="A295" s="20"/>
      <c r="B295" s="64"/>
      <c r="C295" s="20"/>
      <c r="D295" s="20"/>
      <c r="E295" s="20"/>
      <c r="F295" s="52"/>
      <c r="G295" s="41"/>
      <c r="H295" s="41"/>
      <c r="I295" s="41"/>
      <c r="J295" s="20"/>
      <c r="K295" s="20"/>
      <c r="L295" s="20"/>
      <c r="M295" s="20"/>
    </row>
    <row r="296" spans="1:13">
      <c r="A296" s="71"/>
      <c r="B296" s="71"/>
      <c r="C296" s="71"/>
      <c r="D296" s="36" t="s">
        <v>200</v>
      </c>
      <c r="E296" s="36"/>
      <c r="F296" s="71"/>
      <c r="G296" s="72"/>
      <c r="H296" s="72"/>
      <c r="I296" s="72"/>
      <c r="J296" s="20"/>
      <c r="K296" s="20"/>
      <c r="L296" s="20"/>
      <c r="M296" s="20"/>
    </row>
    <row r="297" spans="1:13">
      <c r="A297" s="64"/>
      <c r="B297" s="38"/>
      <c r="C297" s="64"/>
      <c r="D297" s="85"/>
      <c r="E297" s="85"/>
      <c r="F297" s="85"/>
      <c r="G297" s="85"/>
      <c r="H297" s="85"/>
      <c r="I297" s="92"/>
      <c r="J297" s="48"/>
      <c r="K297" s="48"/>
      <c r="L297" s="48"/>
      <c r="M297" s="48"/>
    </row>
    <row r="298" spans="1:13">
      <c r="A298" s="64"/>
      <c r="B298" s="38"/>
      <c r="C298" s="64"/>
      <c r="D298" s="89" t="s">
        <v>201</v>
      </c>
      <c r="E298" s="89"/>
      <c r="F298" s="93"/>
      <c r="G298" s="94" t="s">
        <v>55</v>
      </c>
      <c r="H298" s="94"/>
      <c r="I298" s="92"/>
      <c r="J298" s="48"/>
      <c r="K298" s="48"/>
      <c r="L298" s="48"/>
      <c r="M298" s="48"/>
    </row>
  </sheetData>
  <pageMargins left="0.7" right="0.7" top="0.75" bottom="0.75" header="0.3" footer="0.3"/>
  <pageSetup paperSize="9" orientation="portrait" r:id="rId1"/>
  <legacy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9"/>
  <dimension ref="A1:O34"/>
  <sheetViews>
    <sheetView workbookViewId="0">
      <selection activeCell="A3" sqref="A3:XFD6"/>
    </sheetView>
  </sheetViews>
  <sheetFormatPr defaultColWidth="9.109375" defaultRowHeight="12"/>
  <cols>
    <col min="1" max="1" width="35" style="96" customWidth="1"/>
    <col min="2" max="2" width="9.5546875" style="96" bestFit="1" customWidth="1"/>
    <col min="3" max="3" width="12.109375" style="96" bestFit="1" customWidth="1"/>
    <col min="4" max="4" width="9.88671875" style="96" bestFit="1" customWidth="1"/>
    <col min="5" max="5" width="12.109375" style="96" bestFit="1" customWidth="1"/>
    <col min="6" max="6" width="10.33203125" style="96" bestFit="1" customWidth="1"/>
    <col min="7" max="7" width="13.33203125" style="96" bestFit="1" customWidth="1"/>
    <col min="8" max="8" width="8.6640625" style="96" bestFit="1" customWidth="1"/>
    <col min="9" max="9" width="11.44140625" style="96" bestFit="1" customWidth="1"/>
    <col min="10" max="10" width="16.109375" style="96" bestFit="1" customWidth="1"/>
    <col min="11" max="11" width="19.109375" style="96" bestFit="1" customWidth="1"/>
    <col min="12" max="16384" width="9.109375" style="96"/>
  </cols>
  <sheetData>
    <row r="1" spans="1:13" ht="12.6" thickBot="1">
      <c r="A1" s="97" t="s">
        <v>395</v>
      </c>
    </row>
    <row r="2" spans="1:13" ht="12.6" thickBot="1">
      <c r="A2" s="98" t="s">
        <v>396</v>
      </c>
      <c r="B2" s="102" t="s">
        <v>397</v>
      </c>
      <c r="C2" s="103" t="s">
        <v>398</v>
      </c>
      <c r="D2" s="102" t="s">
        <v>399</v>
      </c>
      <c r="E2" s="103" t="s">
        <v>506</v>
      </c>
      <c r="F2" s="102" t="s">
        <v>400</v>
      </c>
      <c r="G2" s="103" t="s">
        <v>401</v>
      </c>
      <c r="H2" s="102" t="s">
        <v>402</v>
      </c>
      <c r="I2" s="103" t="s">
        <v>403</v>
      </c>
      <c r="J2" s="104" t="s">
        <v>404</v>
      </c>
      <c r="K2" s="103" t="s">
        <v>405</v>
      </c>
      <c r="L2" s="448"/>
      <c r="M2" s="448"/>
    </row>
    <row r="3" spans="1:13">
      <c r="A3" s="973" t="s">
        <v>1280</v>
      </c>
      <c r="B3" s="859">
        <v>100</v>
      </c>
      <c r="C3" s="860">
        <v>100</v>
      </c>
      <c r="D3" s="859">
        <v>100</v>
      </c>
      <c r="E3" s="860">
        <v>100</v>
      </c>
      <c r="F3" s="859">
        <v>100</v>
      </c>
      <c r="G3" s="860">
        <v>100</v>
      </c>
      <c r="H3" s="859">
        <v>100</v>
      </c>
      <c r="I3" s="860">
        <v>100</v>
      </c>
      <c r="J3" s="296"/>
      <c r="K3" s="295"/>
      <c r="M3" s="449"/>
    </row>
    <row r="4" spans="1:13">
      <c r="A4" s="974" t="s">
        <v>1281</v>
      </c>
      <c r="B4" s="855">
        <v>100</v>
      </c>
      <c r="C4" s="856">
        <v>100</v>
      </c>
      <c r="D4" s="855">
        <v>100</v>
      </c>
      <c r="E4" s="856">
        <v>100</v>
      </c>
      <c r="F4" s="855">
        <v>100</v>
      </c>
      <c r="G4" s="856">
        <v>100</v>
      </c>
      <c r="H4" s="855">
        <v>100</v>
      </c>
      <c r="I4" s="856">
        <v>100</v>
      </c>
      <c r="J4" s="297"/>
      <c r="K4" s="293"/>
      <c r="M4" s="449"/>
    </row>
    <row r="5" spans="1:13">
      <c r="A5" s="974" t="s">
        <v>1282</v>
      </c>
      <c r="B5" s="855">
        <v>100</v>
      </c>
      <c r="C5" s="856">
        <v>100</v>
      </c>
      <c r="D5" s="855">
        <v>100</v>
      </c>
      <c r="E5" s="856">
        <v>100</v>
      </c>
      <c r="F5" s="855">
        <v>100</v>
      </c>
      <c r="G5" s="856">
        <v>100</v>
      </c>
      <c r="H5" s="855">
        <v>100</v>
      </c>
      <c r="I5" s="856">
        <v>100</v>
      </c>
      <c r="J5" s="297"/>
      <c r="K5" s="293"/>
      <c r="M5" s="449"/>
    </row>
    <row r="6" spans="1:13" ht="12.6" thickBot="1">
      <c r="A6" s="974" t="s">
        <v>1283</v>
      </c>
      <c r="B6" s="857">
        <v>100</v>
      </c>
      <c r="C6" s="858">
        <v>100</v>
      </c>
      <c r="D6" s="857">
        <v>100</v>
      </c>
      <c r="E6" s="858">
        <v>100</v>
      </c>
      <c r="F6" s="855">
        <v>100</v>
      </c>
      <c r="G6" s="856">
        <v>100</v>
      </c>
      <c r="H6" s="855">
        <v>100</v>
      </c>
      <c r="I6" s="856">
        <v>100</v>
      </c>
      <c r="J6" s="297"/>
      <c r="K6" s="293"/>
      <c r="M6" s="449"/>
    </row>
    <row r="7" spans="1:13">
      <c r="A7" s="99" t="s">
        <v>525</v>
      </c>
      <c r="B7" s="855">
        <v>100</v>
      </c>
      <c r="C7" s="856">
        <v>100</v>
      </c>
      <c r="D7" s="855">
        <v>100</v>
      </c>
      <c r="E7" s="856">
        <v>100</v>
      </c>
      <c r="F7" s="294"/>
      <c r="G7" s="295"/>
      <c r="H7" s="294"/>
      <c r="I7" s="295"/>
      <c r="J7" s="296"/>
      <c r="K7" s="295"/>
      <c r="M7" s="449"/>
    </row>
    <row r="8" spans="1:13">
      <c r="A8" s="100" t="s">
        <v>526</v>
      </c>
      <c r="B8" s="292"/>
      <c r="C8" s="293"/>
      <c r="D8" s="292"/>
      <c r="E8" s="293"/>
      <c r="F8" s="855">
        <v>100</v>
      </c>
      <c r="G8" s="856">
        <v>100</v>
      </c>
      <c r="H8" s="292"/>
      <c r="I8" s="293"/>
      <c r="J8" s="297"/>
      <c r="K8" s="293"/>
      <c r="M8" s="449"/>
    </row>
    <row r="9" spans="1:13" ht="12.6" thickBot="1">
      <c r="A9" s="101" t="s">
        <v>527</v>
      </c>
      <c r="B9" s="298"/>
      <c r="C9" s="299"/>
      <c r="D9" s="298"/>
      <c r="E9" s="299"/>
      <c r="F9" s="298"/>
      <c r="G9" s="299"/>
      <c r="H9" s="857">
        <v>100</v>
      </c>
      <c r="I9" s="858">
        <v>100</v>
      </c>
      <c r="J9" s="300"/>
      <c r="K9" s="299"/>
      <c r="M9" s="449"/>
    </row>
    <row r="10" spans="1:13">
      <c r="A10" s="99" t="s">
        <v>596</v>
      </c>
      <c r="B10" s="859">
        <v>100</v>
      </c>
      <c r="C10" s="860">
        <v>100</v>
      </c>
      <c r="D10" s="859">
        <v>100</v>
      </c>
      <c r="E10" s="860">
        <v>100</v>
      </c>
      <c r="F10" s="859">
        <v>100</v>
      </c>
      <c r="G10" s="860">
        <v>100</v>
      </c>
      <c r="H10" s="859">
        <v>100</v>
      </c>
      <c r="I10" s="860">
        <v>100</v>
      </c>
      <c r="J10" s="294"/>
      <c r="K10" s="295"/>
      <c r="M10" s="449"/>
    </row>
    <row r="11" spans="1:13">
      <c r="A11" s="100" t="s">
        <v>597</v>
      </c>
      <c r="B11" s="855">
        <v>100</v>
      </c>
      <c r="C11" s="856">
        <v>100</v>
      </c>
      <c r="D11" s="855">
        <v>100</v>
      </c>
      <c r="E11" s="856">
        <v>100</v>
      </c>
      <c r="F11" s="855">
        <v>100</v>
      </c>
      <c r="G11" s="856">
        <v>100</v>
      </c>
      <c r="H11" s="855">
        <v>100</v>
      </c>
      <c r="I11" s="856">
        <v>100</v>
      </c>
      <c r="J11" s="292"/>
      <c r="K11" s="293"/>
      <c r="M11" s="449"/>
    </row>
    <row r="12" spans="1:13">
      <c r="A12" s="100" t="s">
        <v>598</v>
      </c>
      <c r="B12" s="855">
        <v>100</v>
      </c>
      <c r="C12" s="856">
        <v>100</v>
      </c>
      <c r="D12" s="855">
        <v>100</v>
      </c>
      <c r="E12" s="856">
        <v>100</v>
      </c>
      <c r="F12" s="855">
        <v>100</v>
      </c>
      <c r="G12" s="856">
        <v>100</v>
      </c>
      <c r="H12" s="855">
        <v>100</v>
      </c>
      <c r="I12" s="856">
        <v>100</v>
      </c>
      <c r="J12" s="292"/>
      <c r="K12" s="293"/>
      <c r="M12" s="449"/>
    </row>
    <row r="13" spans="1:13">
      <c r="A13" s="100" t="s">
        <v>498</v>
      </c>
      <c r="B13" s="855">
        <v>100</v>
      </c>
      <c r="C13" s="856">
        <v>100</v>
      </c>
      <c r="D13" s="855">
        <v>100</v>
      </c>
      <c r="E13" s="856">
        <v>100</v>
      </c>
      <c r="F13" s="855">
        <v>100</v>
      </c>
      <c r="G13" s="856">
        <v>100</v>
      </c>
      <c r="H13" s="855">
        <v>100</v>
      </c>
      <c r="I13" s="856">
        <v>100</v>
      </c>
      <c r="J13" s="292"/>
      <c r="K13" s="293"/>
      <c r="M13" s="449"/>
    </row>
    <row r="14" spans="1:13">
      <c r="A14" s="100" t="s">
        <v>497</v>
      </c>
      <c r="B14" s="855">
        <v>100</v>
      </c>
      <c r="C14" s="856">
        <v>100</v>
      </c>
      <c r="D14" s="855">
        <v>100</v>
      </c>
      <c r="E14" s="856">
        <v>100</v>
      </c>
      <c r="F14" s="855">
        <v>100</v>
      </c>
      <c r="G14" s="856">
        <v>100</v>
      </c>
      <c r="H14" s="855">
        <v>100</v>
      </c>
      <c r="I14" s="856">
        <v>100</v>
      </c>
      <c r="J14" s="861"/>
      <c r="K14" s="301"/>
      <c r="M14" s="449"/>
    </row>
    <row r="15" spans="1:13">
      <c r="A15" s="100" t="s">
        <v>521</v>
      </c>
      <c r="B15" s="855">
        <v>100</v>
      </c>
      <c r="C15" s="856">
        <v>100</v>
      </c>
      <c r="D15" s="855">
        <v>100</v>
      </c>
      <c r="E15" s="856">
        <v>100</v>
      </c>
      <c r="F15" s="855">
        <v>100</v>
      </c>
      <c r="G15" s="856">
        <v>100</v>
      </c>
      <c r="H15" s="855">
        <v>100</v>
      </c>
      <c r="I15" s="856">
        <v>100</v>
      </c>
      <c r="J15" s="861"/>
      <c r="K15" s="301"/>
      <c r="M15" s="449"/>
    </row>
    <row r="16" spans="1:13">
      <c r="A16" s="100" t="s">
        <v>434</v>
      </c>
      <c r="B16" s="855">
        <v>100</v>
      </c>
      <c r="C16" s="856">
        <v>100</v>
      </c>
      <c r="D16" s="855">
        <v>100</v>
      </c>
      <c r="E16" s="856">
        <v>100</v>
      </c>
      <c r="F16" s="855">
        <v>100</v>
      </c>
      <c r="G16" s="856">
        <v>100</v>
      </c>
      <c r="H16" s="855">
        <v>100</v>
      </c>
      <c r="I16" s="856">
        <v>100</v>
      </c>
      <c r="J16" s="861"/>
      <c r="K16" s="301"/>
      <c r="M16" s="449"/>
    </row>
    <row r="17" spans="1:15" ht="12.6" thickBot="1">
      <c r="A17" s="113" t="s">
        <v>599</v>
      </c>
      <c r="B17" s="855">
        <v>100</v>
      </c>
      <c r="C17" s="856">
        <v>100</v>
      </c>
      <c r="D17" s="855">
        <v>100</v>
      </c>
      <c r="E17" s="856">
        <v>100</v>
      </c>
      <c r="F17" s="855">
        <v>100</v>
      </c>
      <c r="G17" s="856">
        <v>100</v>
      </c>
      <c r="H17" s="855">
        <v>100</v>
      </c>
      <c r="I17" s="856">
        <v>100</v>
      </c>
      <c r="J17" s="298"/>
      <c r="K17" s="299"/>
    </row>
    <row r="18" spans="1:15">
      <c r="A18" s="112" t="s">
        <v>714</v>
      </c>
      <c r="B18" s="294"/>
      <c r="C18" s="295"/>
      <c r="D18" s="294"/>
      <c r="E18" s="295"/>
      <c r="F18" s="294"/>
      <c r="G18" s="295"/>
      <c r="H18" s="296"/>
      <c r="I18" s="295"/>
      <c r="J18" s="862">
        <v>100</v>
      </c>
      <c r="K18" s="860">
        <v>100</v>
      </c>
    </row>
    <row r="19" spans="1:15" ht="12.6" thickBot="1">
      <c r="A19" s="113" t="s">
        <v>715</v>
      </c>
      <c r="B19" s="298"/>
      <c r="C19" s="299"/>
      <c r="D19" s="298"/>
      <c r="E19" s="299"/>
      <c r="F19" s="298"/>
      <c r="G19" s="299"/>
      <c r="H19" s="300"/>
      <c r="I19" s="299"/>
      <c r="J19" s="864">
        <v>100</v>
      </c>
      <c r="K19" s="858">
        <v>100</v>
      </c>
    </row>
    <row r="20" spans="1:15">
      <c r="A20" s="112" t="s">
        <v>1257</v>
      </c>
      <c r="B20" s="859">
        <v>100</v>
      </c>
      <c r="C20" s="860">
        <v>100</v>
      </c>
      <c r="D20" s="859">
        <v>100</v>
      </c>
      <c r="E20" s="860">
        <v>100</v>
      </c>
      <c r="F20" s="859">
        <v>100</v>
      </c>
      <c r="G20" s="860">
        <v>100</v>
      </c>
      <c r="H20" s="862">
        <v>100</v>
      </c>
      <c r="I20" s="860">
        <v>100</v>
      </c>
      <c r="J20" s="296"/>
      <c r="K20" s="295"/>
      <c r="O20" s="778"/>
    </row>
    <row r="21" spans="1:15">
      <c r="A21" s="114" t="s">
        <v>1258</v>
      </c>
      <c r="B21" s="855">
        <v>100</v>
      </c>
      <c r="C21" s="856">
        <v>100</v>
      </c>
      <c r="D21" s="855">
        <v>100</v>
      </c>
      <c r="E21" s="856">
        <v>100</v>
      </c>
      <c r="F21" s="855">
        <v>100</v>
      </c>
      <c r="G21" s="856">
        <v>100</v>
      </c>
      <c r="H21" s="863">
        <v>100</v>
      </c>
      <c r="I21" s="856">
        <v>100</v>
      </c>
      <c r="J21" s="297"/>
      <c r="K21" s="293"/>
    </row>
    <row r="22" spans="1:15">
      <c r="A22" s="114" t="s">
        <v>1259</v>
      </c>
      <c r="B22" s="855">
        <v>100</v>
      </c>
      <c r="C22" s="856">
        <v>100</v>
      </c>
      <c r="D22" s="855">
        <v>100</v>
      </c>
      <c r="E22" s="856">
        <v>100</v>
      </c>
      <c r="F22" s="855">
        <v>100</v>
      </c>
      <c r="G22" s="856">
        <v>100</v>
      </c>
      <c r="H22" s="863">
        <v>100</v>
      </c>
      <c r="I22" s="856">
        <v>100</v>
      </c>
      <c r="J22" s="297"/>
      <c r="K22" s="293"/>
    </row>
    <row r="23" spans="1:15">
      <c r="A23" s="114" t="s">
        <v>1260</v>
      </c>
      <c r="B23" s="855">
        <v>100</v>
      </c>
      <c r="C23" s="856">
        <v>100</v>
      </c>
      <c r="D23" s="855">
        <v>100</v>
      </c>
      <c r="E23" s="856">
        <v>100</v>
      </c>
      <c r="F23" s="855">
        <v>100</v>
      </c>
      <c r="G23" s="856">
        <v>100</v>
      </c>
      <c r="H23" s="863">
        <v>100</v>
      </c>
      <c r="I23" s="856">
        <v>100</v>
      </c>
      <c r="J23" s="297"/>
      <c r="K23" s="293"/>
    </row>
    <row r="24" spans="1:15">
      <c r="A24" s="114" t="s">
        <v>1261</v>
      </c>
      <c r="B24" s="855">
        <v>100</v>
      </c>
      <c r="C24" s="856">
        <v>100</v>
      </c>
      <c r="D24" s="855">
        <v>100</v>
      </c>
      <c r="E24" s="856">
        <v>100</v>
      </c>
      <c r="F24" s="855">
        <v>100</v>
      </c>
      <c r="G24" s="856">
        <v>100</v>
      </c>
      <c r="H24" s="863">
        <v>100</v>
      </c>
      <c r="I24" s="856">
        <v>100</v>
      </c>
      <c r="J24" s="297"/>
      <c r="K24" s="293"/>
    </row>
    <row r="25" spans="1:15">
      <c r="A25" s="114" t="s">
        <v>1262</v>
      </c>
      <c r="B25" s="855">
        <v>100</v>
      </c>
      <c r="C25" s="856">
        <v>100</v>
      </c>
      <c r="D25" s="855">
        <v>100</v>
      </c>
      <c r="E25" s="856">
        <v>100</v>
      </c>
      <c r="F25" s="855">
        <v>100</v>
      </c>
      <c r="G25" s="856">
        <v>100</v>
      </c>
      <c r="H25" s="863">
        <v>100</v>
      </c>
      <c r="I25" s="856">
        <v>100</v>
      </c>
      <c r="J25" s="297"/>
      <c r="K25" s="293"/>
    </row>
    <row r="26" spans="1:15" ht="12.6" thickBot="1">
      <c r="A26" s="114" t="s">
        <v>1263</v>
      </c>
      <c r="B26" s="855">
        <v>100</v>
      </c>
      <c r="C26" s="856">
        <v>100</v>
      </c>
      <c r="D26" s="855">
        <v>100</v>
      </c>
      <c r="E26" s="856">
        <v>100</v>
      </c>
      <c r="F26" s="855">
        <v>100</v>
      </c>
      <c r="G26" s="856">
        <v>100</v>
      </c>
      <c r="H26" s="863">
        <v>100</v>
      </c>
      <c r="I26" s="856">
        <v>100</v>
      </c>
      <c r="J26" s="297"/>
      <c r="K26" s="293"/>
    </row>
    <row r="27" spans="1:15" s="178" customFormat="1">
      <c r="A27" s="112" t="s">
        <v>530</v>
      </c>
      <c r="B27" s="859">
        <v>100</v>
      </c>
      <c r="C27" s="860">
        <v>100</v>
      </c>
      <c r="D27" s="859">
        <v>100</v>
      </c>
      <c r="E27" s="860">
        <v>100</v>
      </c>
      <c r="F27" s="859">
        <v>100</v>
      </c>
      <c r="G27" s="860">
        <v>100</v>
      </c>
      <c r="H27" s="862">
        <v>100</v>
      </c>
      <c r="I27" s="860">
        <v>100</v>
      </c>
      <c r="J27" s="865"/>
      <c r="K27" s="302"/>
      <c r="L27" s="96"/>
      <c r="M27" s="449"/>
      <c r="N27" s="96"/>
    </row>
    <row r="28" spans="1:15">
      <c r="A28" s="114" t="s">
        <v>1264</v>
      </c>
      <c r="B28" s="855">
        <v>100</v>
      </c>
      <c r="C28" s="856">
        <v>100</v>
      </c>
      <c r="D28" s="855">
        <v>100</v>
      </c>
      <c r="E28" s="856">
        <v>100</v>
      </c>
      <c r="F28" s="855">
        <v>100</v>
      </c>
      <c r="G28" s="856">
        <v>100</v>
      </c>
      <c r="H28" s="863">
        <v>100</v>
      </c>
      <c r="I28" s="856">
        <v>100</v>
      </c>
      <c r="J28" s="866"/>
      <c r="K28" s="303"/>
      <c r="M28" s="449"/>
    </row>
    <row r="29" spans="1:15">
      <c r="A29" s="114" t="s">
        <v>1266</v>
      </c>
      <c r="B29" s="855">
        <v>100</v>
      </c>
      <c r="C29" s="856">
        <v>100</v>
      </c>
      <c r="D29" s="855">
        <v>100</v>
      </c>
      <c r="E29" s="856">
        <v>100</v>
      </c>
      <c r="F29" s="855">
        <v>100</v>
      </c>
      <c r="G29" s="856">
        <v>100</v>
      </c>
      <c r="H29" s="863">
        <v>100</v>
      </c>
      <c r="I29" s="856">
        <v>100</v>
      </c>
      <c r="J29" s="866"/>
      <c r="K29" s="303"/>
    </row>
    <row r="30" spans="1:15">
      <c r="A30" s="114" t="s">
        <v>1267</v>
      </c>
      <c r="B30" s="855">
        <v>100</v>
      </c>
      <c r="C30" s="856">
        <v>100</v>
      </c>
      <c r="D30" s="855">
        <v>100</v>
      </c>
      <c r="E30" s="856">
        <v>100</v>
      </c>
      <c r="F30" s="855">
        <v>100</v>
      </c>
      <c r="G30" s="856">
        <v>100</v>
      </c>
      <c r="H30" s="863">
        <v>100</v>
      </c>
      <c r="I30" s="856">
        <v>100</v>
      </c>
      <c r="J30" s="866"/>
      <c r="K30" s="303"/>
      <c r="M30" s="449"/>
    </row>
    <row r="31" spans="1:15">
      <c r="A31" s="114" t="s">
        <v>1265</v>
      </c>
      <c r="B31" s="855">
        <v>100</v>
      </c>
      <c r="C31" s="856">
        <v>100</v>
      </c>
      <c r="D31" s="855">
        <v>100</v>
      </c>
      <c r="E31" s="856">
        <v>100</v>
      </c>
      <c r="F31" s="855">
        <v>100</v>
      </c>
      <c r="G31" s="856">
        <v>100</v>
      </c>
      <c r="H31" s="863">
        <v>100</v>
      </c>
      <c r="I31" s="856">
        <v>100</v>
      </c>
      <c r="J31" s="866"/>
      <c r="K31" s="303"/>
      <c r="M31" s="449"/>
    </row>
    <row r="32" spans="1:15">
      <c r="A32" s="114" t="s">
        <v>1268</v>
      </c>
      <c r="B32" s="855">
        <v>100</v>
      </c>
      <c r="C32" s="856">
        <v>100</v>
      </c>
      <c r="D32" s="855">
        <v>100</v>
      </c>
      <c r="E32" s="856">
        <v>100</v>
      </c>
      <c r="F32" s="855">
        <v>100</v>
      </c>
      <c r="G32" s="856">
        <v>100</v>
      </c>
      <c r="H32" s="863">
        <v>100</v>
      </c>
      <c r="I32" s="856">
        <v>100</v>
      </c>
      <c r="J32" s="866"/>
      <c r="K32" s="303"/>
      <c r="M32" s="449"/>
    </row>
    <row r="33" spans="1:13">
      <c r="A33" s="114" t="s">
        <v>1269</v>
      </c>
      <c r="B33" s="855">
        <v>100</v>
      </c>
      <c r="C33" s="856">
        <v>100</v>
      </c>
      <c r="D33" s="855">
        <v>100</v>
      </c>
      <c r="E33" s="856">
        <v>100</v>
      </c>
      <c r="F33" s="855">
        <v>100</v>
      </c>
      <c r="G33" s="856">
        <v>100</v>
      </c>
      <c r="H33" s="863">
        <v>100</v>
      </c>
      <c r="I33" s="856">
        <v>100</v>
      </c>
      <c r="J33" s="866"/>
      <c r="K33" s="303"/>
      <c r="M33" s="449"/>
    </row>
    <row r="34" spans="1:13" ht="12.6" thickBot="1">
      <c r="A34" s="113" t="s">
        <v>1270</v>
      </c>
      <c r="B34" s="857">
        <v>100</v>
      </c>
      <c r="C34" s="858">
        <v>100</v>
      </c>
      <c r="D34" s="857">
        <v>100</v>
      </c>
      <c r="E34" s="858">
        <v>100</v>
      </c>
      <c r="F34" s="857">
        <v>100</v>
      </c>
      <c r="G34" s="858">
        <v>100</v>
      </c>
      <c r="H34" s="864">
        <v>100</v>
      </c>
      <c r="I34" s="858">
        <v>100</v>
      </c>
      <c r="J34" s="867"/>
      <c r="K34" s="304"/>
      <c r="M34" s="449"/>
    </row>
  </sheetData>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A1:AP16"/>
  <sheetViews>
    <sheetView topLeftCell="Z1" workbookViewId="0">
      <selection activeCell="AF1" sqref="AF1:AG1"/>
    </sheetView>
  </sheetViews>
  <sheetFormatPr defaultColWidth="12.44140625" defaultRowHeight="12"/>
  <cols>
    <col min="1" max="1" width="12.44140625" style="4"/>
    <col min="2" max="2" width="10.109375" style="4" customWidth="1"/>
    <col min="3" max="3" width="7" style="4" customWidth="1"/>
    <col min="4" max="4" width="8.33203125" style="4" customWidth="1"/>
    <col min="5" max="5" width="8.44140625" style="4" bestFit="1" customWidth="1"/>
    <col min="6" max="6" width="7.109375" style="4" customWidth="1"/>
    <col min="7" max="7" width="5.6640625" style="4" bestFit="1" customWidth="1"/>
    <col min="8" max="8" width="8.33203125" style="4" bestFit="1" customWidth="1"/>
    <col min="9" max="11" width="6.33203125" style="4" bestFit="1" customWidth="1"/>
    <col min="12" max="12" width="8" style="4" bestFit="1" customWidth="1"/>
    <col min="13" max="13" width="11.5546875" style="4" bestFit="1" customWidth="1"/>
    <col min="14" max="14" width="14.88671875" style="4" bestFit="1" customWidth="1"/>
    <col min="15" max="25" width="12.44140625" style="4"/>
    <col min="26" max="26" width="16.5546875" style="4" bestFit="1" customWidth="1"/>
    <col min="27" max="27" width="12.44140625" style="4"/>
    <col min="28" max="28" width="9" style="4" bestFit="1" customWidth="1"/>
    <col min="29" max="30" width="12.44140625" style="4"/>
    <col min="31" max="31" width="11.109375" style="4" bestFit="1" customWidth="1"/>
    <col min="32" max="32" width="9.21875" style="4" customWidth="1"/>
    <col min="33" max="33" width="9.109375" style="4" customWidth="1"/>
    <col min="34" max="34" width="12.44140625" style="4"/>
    <col min="35" max="35" width="10.88671875" style="4" bestFit="1" customWidth="1"/>
    <col min="36" max="36" width="8" style="4" bestFit="1" customWidth="1"/>
    <col min="37" max="38" width="12.44140625" style="4"/>
    <col min="39" max="39" width="9.109375" style="4" bestFit="1" customWidth="1"/>
    <col min="40" max="40" width="6.33203125" style="4" bestFit="1" customWidth="1"/>
    <col min="41" max="41" width="12.44140625" style="4"/>
    <col min="42" max="42" width="6.5546875" style="4" bestFit="1" customWidth="1"/>
    <col min="43" max="16384" width="12.44140625" style="4"/>
  </cols>
  <sheetData>
    <row r="1" spans="1:42" ht="34.5" customHeight="1">
      <c r="A1" s="118" t="s">
        <v>641</v>
      </c>
      <c r="B1" s="118" t="s">
        <v>618</v>
      </c>
      <c r="C1" s="118" t="s">
        <v>8</v>
      </c>
      <c r="D1" s="118" t="s">
        <v>463</v>
      </c>
      <c r="E1" s="118" t="s">
        <v>624</v>
      </c>
      <c r="F1" s="118" t="s">
        <v>464</v>
      </c>
      <c r="G1" s="118" t="s">
        <v>465</v>
      </c>
      <c r="H1" s="118" t="s">
        <v>623</v>
      </c>
      <c r="I1" s="118" t="s">
        <v>466</v>
      </c>
      <c r="J1" s="118" t="s">
        <v>468</v>
      </c>
      <c r="K1" s="118" t="s">
        <v>469</v>
      </c>
      <c r="L1" s="118" t="s">
        <v>470</v>
      </c>
      <c r="M1" s="118" t="s">
        <v>620</v>
      </c>
      <c r="N1" s="197" t="s">
        <v>619</v>
      </c>
      <c r="O1" s="197" t="s">
        <v>541</v>
      </c>
      <c r="P1" s="197" t="s">
        <v>542</v>
      </c>
      <c r="Q1" s="197" t="s">
        <v>543</v>
      </c>
      <c r="R1" s="197" t="s">
        <v>544</v>
      </c>
      <c r="S1" s="197" t="s">
        <v>545</v>
      </c>
      <c r="T1" s="197" t="s">
        <v>546</v>
      </c>
      <c r="U1" s="197" t="s">
        <v>640</v>
      </c>
      <c r="V1" s="197" t="s">
        <v>600</v>
      </c>
      <c r="W1" s="197" t="s">
        <v>621</v>
      </c>
      <c r="X1" s="197" t="s">
        <v>622</v>
      </c>
      <c r="Y1" s="197" t="s">
        <v>625</v>
      </c>
      <c r="Z1" s="197" t="s">
        <v>626</v>
      </c>
      <c r="AA1" s="197" t="s">
        <v>627</v>
      </c>
      <c r="AB1" s="197" t="s">
        <v>535</v>
      </c>
      <c r="AC1" s="197" t="s">
        <v>628</v>
      </c>
      <c r="AD1" s="197" t="s">
        <v>629</v>
      </c>
      <c r="AE1" s="197" t="s">
        <v>538</v>
      </c>
      <c r="AF1" s="1110" t="s">
        <v>1284</v>
      </c>
      <c r="AG1" s="1110" t="s">
        <v>1285</v>
      </c>
      <c r="AH1" s="197" t="s">
        <v>630</v>
      </c>
      <c r="AI1" s="197" t="s">
        <v>540</v>
      </c>
      <c r="AJ1" s="197" t="s">
        <v>631</v>
      </c>
      <c r="AK1" s="197" t="s">
        <v>548</v>
      </c>
      <c r="AL1" s="197" t="s">
        <v>549</v>
      </c>
      <c r="AM1" s="197" t="s">
        <v>632</v>
      </c>
      <c r="AN1" s="197" t="s">
        <v>633</v>
      </c>
      <c r="AO1" s="197" t="s">
        <v>634</v>
      </c>
      <c r="AP1" s="197" t="s">
        <v>635</v>
      </c>
    </row>
    <row r="2" spans="1:42">
      <c r="A2" s="4" t="str">
        <f t="shared" ref="A2:A9" si="0">B2&amp;C2</f>
        <v>n1*ISDN2KPN</v>
      </c>
      <c r="B2" s="4" t="s">
        <v>636</v>
      </c>
      <c r="C2" s="4" t="s">
        <v>9</v>
      </c>
      <c r="D2" s="844">
        <v>5</v>
      </c>
      <c r="E2" s="844">
        <v>5</v>
      </c>
      <c r="F2" s="844">
        <v>5</v>
      </c>
      <c r="G2" s="844">
        <v>5</v>
      </c>
      <c r="H2" s="844">
        <v>5</v>
      </c>
      <c r="I2" s="844">
        <v>5</v>
      </c>
      <c r="J2" s="844">
        <v>5</v>
      </c>
      <c r="K2" s="844">
        <v>5</v>
      </c>
      <c r="L2" s="844">
        <v>5</v>
      </c>
      <c r="M2" s="284">
        <f>SUM(D2:F2)+SUM(G2:H2)*2+I2*15+J2*20+SUM(K2:L2)*30</f>
        <v>510</v>
      </c>
      <c r="N2" s="284">
        <f>M2/5</f>
        <v>102</v>
      </c>
      <c r="O2" s="825">
        <v>1</v>
      </c>
      <c r="P2" s="825">
        <v>1</v>
      </c>
      <c r="Q2" s="825">
        <v>1</v>
      </c>
      <c r="R2" s="825">
        <v>1</v>
      </c>
      <c r="S2" s="825">
        <v>1</v>
      </c>
      <c r="T2" s="825">
        <v>1</v>
      </c>
      <c r="U2" s="825">
        <v>1</v>
      </c>
      <c r="V2" s="825">
        <v>1</v>
      </c>
      <c r="W2" s="825">
        <v>1</v>
      </c>
      <c r="X2" s="825">
        <v>1</v>
      </c>
      <c r="Y2" s="825">
        <v>1</v>
      </c>
      <c r="Z2" s="825">
        <v>1</v>
      </c>
      <c r="AA2" s="825">
        <v>1</v>
      </c>
      <c r="AB2" s="825">
        <v>1</v>
      </c>
      <c r="AC2" s="825">
        <v>1</v>
      </c>
      <c r="AD2" s="825">
        <v>1</v>
      </c>
      <c r="AE2" s="825">
        <v>1</v>
      </c>
      <c r="AF2" s="825">
        <v>1</v>
      </c>
      <c r="AG2" s="825">
        <v>1</v>
      </c>
      <c r="AH2" s="825">
        <v>1</v>
      </c>
      <c r="AI2" s="825">
        <v>1</v>
      </c>
      <c r="AJ2" s="825">
        <v>1</v>
      </c>
      <c r="AK2" s="825">
        <v>1</v>
      </c>
      <c r="AL2" s="825">
        <v>1</v>
      </c>
      <c r="AM2" s="825">
        <v>1</v>
      </c>
      <c r="AN2" s="825">
        <v>1</v>
      </c>
      <c r="AO2" s="825">
        <v>1</v>
      </c>
      <c r="AP2" s="825">
        <v>1</v>
      </c>
    </row>
    <row r="3" spans="1:42">
      <c r="A3" s="4" t="str">
        <f t="shared" si="0"/>
        <v>n2*ISDN15KPN</v>
      </c>
      <c r="B3" s="4" t="s">
        <v>637</v>
      </c>
      <c r="C3" s="4" t="s">
        <v>9</v>
      </c>
      <c r="D3" s="844">
        <v>5</v>
      </c>
      <c r="E3" s="844">
        <v>5</v>
      </c>
      <c r="F3" s="844">
        <v>5</v>
      </c>
      <c r="G3" s="844">
        <v>5</v>
      </c>
      <c r="H3" s="844">
        <v>5</v>
      </c>
      <c r="I3" s="844">
        <v>5</v>
      </c>
      <c r="J3" s="844">
        <v>5</v>
      </c>
      <c r="K3" s="844">
        <v>5</v>
      </c>
      <c r="L3" s="844">
        <v>5</v>
      </c>
      <c r="M3" s="284">
        <f t="shared" ref="M3:M9" si="1">SUM(D3:F3)+SUM(G3:H3)*2+I3*15+J3*20+SUM(K3:L3)*30</f>
        <v>510</v>
      </c>
      <c r="N3" s="284">
        <f t="shared" ref="N3:N9" si="2">M3/5</f>
        <v>102</v>
      </c>
      <c r="O3" s="825">
        <v>1</v>
      </c>
      <c r="P3" s="825">
        <v>1</v>
      </c>
      <c r="Q3" s="825">
        <v>1</v>
      </c>
      <c r="R3" s="825">
        <v>1</v>
      </c>
      <c r="S3" s="825">
        <v>1</v>
      </c>
      <c r="T3" s="825">
        <v>1</v>
      </c>
      <c r="U3" s="825">
        <v>1</v>
      </c>
      <c r="V3" s="825">
        <v>1</v>
      </c>
      <c r="W3" s="825">
        <v>1</v>
      </c>
      <c r="X3" s="825">
        <v>1</v>
      </c>
      <c r="Y3" s="825">
        <v>1</v>
      </c>
      <c r="Z3" s="825">
        <v>1</v>
      </c>
      <c r="AA3" s="825">
        <v>1</v>
      </c>
      <c r="AB3" s="825">
        <v>1</v>
      </c>
      <c r="AC3" s="825">
        <v>1</v>
      </c>
      <c r="AD3" s="825">
        <v>1</v>
      </c>
      <c r="AE3" s="825">
        <v>1</v>
      </c>
      <c r="AF3" s="825">
        <v>1</v>
      </c>
      <c r="AG3" s="825">
        <v>1</v>
      </c>
      <c r="AH3" s="825">
        <v>1</v>
      </c>
      <c r="AI3" s="825">
        <v>1</v>
      </c>
      <c r="AJ3" s="825">
        <v>1</v>
      </c>
      <c r="AK3" s="825">
        <v>1</v>
      </c>
      <c r="AL3" s="825">
        <v>1</v>
      </c>
      <c r="AM3" s="825">
        <v>1</v>
      </c>
      <c r="AN3" s="825">
        <v>1</v>
      </c>
      <c r="AO3" s="825">
        <v>1</v>
      </c>
      <c r="AP3" s="825">
        <v>1</v>
      </c>
    </row>
    <row r="4" spans="1:42">
      <c r="A4" s="4" t="str">
        <f t="shared" si="0"/>
        <v>n3*ISDN20KPN</v>
      </c>
      <c r="B4" s="4" t="s">
        <v>638</v>
      </c>
      <c r="C4" s="4" t="s">
        <v>9</v>
      </c>
      <c r="D4" s="844">
        <v>5</v>
      </c>
      <c r="E4" s="844">
        <v>5</v>
      </c>
      <c r="F4" s="844">
        <v>5</v>
      </c>
      <c r="G4" s="844">
        <v>5</v>
      </c>
      <c r="H4" s="844">
        <v>5</v>
      </c>
      <c r="I4" s="844">
        <v>5</v>
      </c>
      <c r="J4" s="844">
        <v>5</v>
      </c>
      <c r="K4" s="844">
        <v>5</v>
      </c>
      <c r="L4" s="844">
        <v>5</v>
      </c>
      <c r="M4" s="284">
        <f t="shared" si="1"/>
        <v>510</v>
      </c>
      <c r="N4" s="284">
        <f t="shared" si="2"/>
        <v>102</v>
      </c>
      <c r="O4" s="825">
        <v>1</v>
      </c>
      <c r="P4" s="825">
        <v>1</v>
      </c>
      <c r="Q4" s="825">
        <v>1</v>
      </c>
      <c r="R4" s="825">
        <v>1</v>
      </c>
      <c r="S4" s="825">
        <v>1</v>
      </c>
      <c r="T4" s="825">
        <v>1</v>
      </c>
      <c r="U4" s="825">
        <v>1</v>
      </c>
      <c r="V4" s="825">
        <v>1</v>
      </c>
      <c r="W4" s="825">
        <v>1</v>
      </c>
      <c r="X4" s="825">
        <v>1</v>
      </c>
      <c r="Y4" s="825">
        <v>1</v>
      </c>
      <c r="Z4" s="825">
        <v>1</v>
      </c>
      <c r="AA4" s="825">
        <v>1</v>
      </c>
      <c r="AB4" s="825">
        <v>1</v>
      </c>
      <c r="AC4" s="825">
        <v>1</v>
      </c>
      <c r="AD4" s="825">
        <v>1</v>
      </c>
      <c r="AE4" s="825">
        <v>1</v>
      </c>
      <c r="AF4" s="825">
        <v>1</v>
      </c>
      <c r="AG4" s="825">
        <v>1</v>
      </c>
      <c r="AH4" s="825">
        <v>1</v>
      </c>
      <c r="AI4" s="825">
        <v>1</v>
      </c>
      <c r="AJ4" s="825">
        <v>1</v>
      </c>
      <c r="AK4" s="825">
        <v>1</v>
      </c>
      <c r="AL4" s="825">
        <v>1</v>
      </c>
      <c r="AM4" s="825">
        <v>1</v>
      </c>
      <c r="AN4" s="825">
        <v>1</v>
      </c>
      <c r="AO4" s="825">
        <v>1</v>
      </c>
      <c r="AP4" s="825">
        <v>1</v>
      </c>
    </row>
    <row r="5" spans="1:42">
      <c r="A5" s="4" t="str">
        <f t="shared" si="0"/>
        <v>n4*ISDN30KPN</v>
      </c>
      <c r="B5" s="4" t="s">
        <v>639</v>
      </c>
      <c r="C5" s="4" t="s">
        <v>9</v>
      </c>
      <c r="D5" s="844">
        <v>5</v>
      </c>
      <c r="E5" s="844">
        <v>5</v>
      </c>
      <c r="F5" s="844">
        <v>5</v>
      </c>
      <c r="G5" s="844">
        <v>5</v>
      </c>
      <c r="H5" s="844">
        <v>5</v>
      </c>
      <c r="I5" s="844">
        <v>5</v>
      </c>
      <c r="J5" s="844">
        <v>5</v>
      </c>
      <c r="K5" s="844">
        <v>5</v>
      </c>
      <c r="L5" s="844">
        <v>5</v>
      </c>
      <c r="M5" s="284">
        <f t="shared" si="1"/>
        <v>510</v>
      </c>
      <c r="N5" s="284">
        <f t="shared" si="2"/>
        <v>102</v>
      </c>
      <c r="O5" s="825">
        <v>1</v>
      </c>
      <c r="P5" s="825">
        <v>1</v>
      </c>
      <c r="Q5" s="825">
        <v>1</v>
      </c>
      <c r="R5" s="825">
        <v>1</v>
      </c>
      <c r="S5" s="825">
        <v>1</v>
      </c>
      <c r="T5" s="825">
        <v>1</v>
      </c>
      <c r="U5" s="825">
        <v>1</v>
      </c>
      <c r="V5" s="825">
        <v>1</v>
      </c>
      <c r="W5" s="825">
        <v>1</v>
      </c>
      <c r="X5" s="825">
        <v>1</v>
      </c>
      <c r="Y5" s="825">
        <v>1</v>
      </c>
      <c r="Z5" s="825">
        <v>1</v>
      </c>
      <c r="AA5" s="825">
        <v>1</v>
      </c>
      <c r="AB5" s="825">
        <v>1</v>
      </c>
      <c r="AC5" s="825">
        <v>1</v>
      </c>
      <c r="AD5" s="825">
        <v>1</v>
      </c>
      <c r="AE5" s="825">
        <v>1</v>
      </c>
      <c r="AF5" s="825">
        <v>1</v>
      </c>
      <c r="AG5" s="825">
        <v>1</v>
      </c>
      <c r="AH5" s="825">
        <v>1</v>
      </c>
      <c r="AI5" s="825">
        <v>1</v>
      </c>
      <c r="AJ5" s="825">
        <v>1</v>
      </c>
      <c r="AK5" s="825">
        <v>1</v>
      </c>
      <c r="AL5" s="825">
        <v>1</v>
      </c>
      <c r="AM5" s="825">
        <v>1</v>
      </c>
      <c r="AN5" s="825">
        <v>1</v>
      </c>
      <c r="AO5" s="825">
        <v>1</v>
      </c>
      <c r="AP5" s="825">
        <v>1</v>
      </c>
    </row>
    <row r="6" spans="1:42">
      <c r="A6" s="4" t="str">
        <f t="shared" si="0"/>
        <v>n1*ISDN2TZ</v>
      </c>
      <c r="B6" s="4" t="s">
        <v>636</v>
      </c>
      <c r="C6" s="4" t="s">
        <v>12</v>
      </c>
      <c r="D6" s="845">
        <v>5</v>
      </c>
      <c r="E6" s="845">
        <v>5</v>
      </c>
      <c r="F6" s="845">
        <v>5</v>
      </c>
      <c r="G6" s="845">
        <v>5</v>
      </c>
      <c r="H6" s="845">
        <v>5</v>
      </c>
      <c r="I6" s="845">
        <v>5</v>
      </c>
      <c r="J6" s="845">
        <v>5</v>
      </c>
      <c r="K6" s="845">
        <v>5</v>
      </c>
      <c r="L6" s="845">
        <v>5</v>
      </c>
      <c r="M6" s="284">
        <f t="shared" si="1"/>
        <v>510</v>
      </c>
      <c r="N6" s="284">
        <f t="shared" si="2"/>
        <v>102</v>
      </c>
      <c r="O6" s="868">
        <v>1</v>
      </c>
      <c r="P6" s="868">
        <v>1</v>
      </c>
      <c r="Q6" s="868">
        <v>1</v>
      </c>
      <c r="R6" s="868">
        <v>1</v>
      </c>
      <c r="S6" s="868">
        <v>1</v>
      </c>
      <c r="T6" s="868">
        <v>1</v>
      </c>
      <c r="U6" s="868">
        <v>1</v>
      </c>
      <c r="V6" s="868">
        <v>1</v>
      </c>
      <c r="W6" s="868">
        <v>1</v>
      </c>
      <c r="X6" s="868">
        <v>1</v>
      </c>
      <c r="Y6" s="868">
        <v>1</v>
      </c>
      <c r="Z6" s="868">
        <v>1</v>
      </c>
      <c r="AA6" s="868">
        <v>1</v>
      </c>
      <c r="AB6" s="868">
        <v>1</v>
      </c>
      <c r="AC6" s="868">
        <v>1</v>
      </c>
      <c r="AD6" s="868">
        <v>1</v>
      </c>
      <c r="AE6" s="868">
        <v>1</v>
      </c>
      <c r="AF6" s="868">
        <v>1</v>
      </c>
      <c r="AG6" s="868">
        <v>1</v>
      </c>
      <c r="AH6" s="868">
        <v>1</v>
      </c>
      <c r="AI6" s="868">
        <v>1</v>
      </c>
      <c r="AJ6" s="868">
        <v>1</v>
      </c>
      <c r="AK6" s="868">
        <v>1</v>
      </c>
      <c r="AL6" s="868">
        <v>1</v>
      </c>
      <c r="AM6" s="868">
        <v>1</v>
      </c>
      <c r="AN6" s="868">
        <v>1</v>
      </c>
      <c r="AO6" s="868">
        <v>1</v>
      </c>
      <c r="AP6" s="868">
        <v>1</v>
      </c>
    </row>
    <row r="7" spans="1:42">
      <c r="A7" s="4" t="str">
        <f t="shared" si="0"/>
        <v>n2*ISDN15TZ</v>
      </c>
      <c r="B7" s="4" t="s">
        <v>637</v>
      </c>
      <c r="C7" s="4" t="s">
        <v>12</v>
      </c>
      <c r="D7" s="845">
        <v>5</v>
      </c>
      <c r="E7" s="845">
        <v>5</v>
      </c>
      <c r="F7" s="845">
        <v>5</v>
      </c>
      <c r="G7" s="845">
        <v>5</v>
      </c>
      <c r="H7" s="845">
        <v>5</v>
      </c>
      <c r="I7" s="845">
        <v>5</v>
      </c>
      <c r="J7" s="845">
        <v>5</v>
      </c>
      <c r="K7" s="845">
        <v>5</v>
      </c>
      <c r="L7" s="845">
        <v>5</v>
      </c>
      <c r="M7" s="284">
        <f t="shared" si="1"/>
        <v>510</v>
      </c>
      <c r="N7" s="284">
        <f t="shared" si="2"/>
        <v>102</v>
      </c>
      <c r="O7" s="868">
        <v>1</v>
      </c>
      <c r="P7" s="868">
        <v>1</v>
      </c>
      <c r="Q7" s="868">
        <v>1</v>
      </c>
      <c r="R7" s="868">
        <v>1</v>
      </c>
      <c r="S7" s="868">
        <v>1</v>
      </c>
      <c r="T7" s="868">
        <v>1</v>
      </c>
      <c r="U7" s="868">
        <v>1</v>
      </c>
      <c r="V7" s="868">
        <v>1</v>
      </c>
      <c r="W7" s="868">
        <v>1</v>
      </c>
      <c r="X7" s="868">
        <v>1</v>
      </c>
      <c r="Y7" s="868">
        <v>1</v>
      </c>
      <c r="Z7" s="868">
        <v>1</v>
      </c>
      <c r="AA7" s="868">
        <v>1</v>
      </c>
      <c r="AB7" s="868">
        <v>1</v>
      </c>
      <c r="AC7" s="868">
        <v>1</v>
      </c>
      <c r="AD7" s="868">
        <v>1</v>
      </c>
      <c r="AE7" s="868">
        <v>1</v>
      </c>
      <c r="AF7" s="868">
        <v>1</v>
      </c>
      <c r="AG7" s="868">
        <v>1</v>
      </c>
      <c r="AH7" s="868">
        <v>1</v>
      </c>
      <c r="AI7" s="868">
        <v>1</v>
      </c>
      <c r="AJ7" s="868">
        <v>1</v>
      </c>
      <c r="AK7" s="868">
        <v>1</v>
      </c>
      <c r="AL7" s="868">
        <v>1</v>
      </c>
      <c r="AM7" s="868">
        <v>1</v>
      </c>
      <c r="AN7" s="868">
        <v>1</v>
      </c>
      <c r="AO7" s="868">
        <v>1</v>
      </c>
      <c r="AP7" s="868">
        <v>1</v>
      </c>
    </row>
    <row r="8" spans="1:42">
      <c r="A8" s="4" t="str">
        <f t="shared" si="0"/>
        <v>n3*ISDN20TZ</v>
      </c>
      <c r="B8" s="4" t="s">
        <v>638</v>
      </c>
      <c r="C8" s="4" t="s">
        <v>12</v>
      </c>
      <c r="D8" s="845">
        <v>5</v>
      </c>
      <c r="E8" s="845">
        <v>5</v>
      </c>
      <c r="F8" s="845">
        <v>5</v>
      </c>
      <c r="G8" s="845">
        <v>5</v>
      </c>
      <c r="H8" s="845">
        <v>5</v>
      </c>
      <c r="I8" s="845">
        <v>5</v>
      </c>
      <c r="J8" s="845">
        <v>5</v>
      </c>
      <c r="K8" s="845">
        <v>5</v>
      </c>
      <c r="L8" s="845">
        <v>5</v>
      </c>
      <c r="M8" s="284">
        <f t="shared" si="1"/>
        <v>510</v>
      </c>
      <c r="N8" s="284">
        <f t="shared" si="2"/>
        <v>102</v>
      </c>
      <c r="O8" s="868">
        <v>1</v>
      </c>
      <c r="P8" s="868">
        <v>1</v>
      </c>
      <c r="Q8" s="868">
        <v>1</v>
      </c>
      <c r="R8" s="868">
        <v>1</v>
      </c>
      <c r="S8" s="868">
        <v>1</v>
      </c>
      <c r="T8" s="868">
        <v>1</v>
      </c>
      <c r="U8" s="868">
        <v>1</v>
      </c>
      <c r="V8" s="868">
        <v>1</v>
      </c>
      <c r="W8" s="868">
        <v>1</v>
      </c>
      <c r="X8" s="868">
        <v>1</v>
      </c>
      <c r="Y8" s="868">
        <v>1</v>
      </c>
      <c r="Z8" s="868">
        <v>1</v>
      </c>
      <c r="AA8" s="868">
        <v>1</v>
      </c>
      <c r="AB8" s="868">
        <v>1</v>
      </c>
      <c r="AC8" s="868">
        <v>1</v>
      </c>
      <c r="AD8" s="868">
        <v>1</v>
      </c>
      <c r="AE8" s="868">
        <v>1</v>
      </c>
      <c r="AF8" s="868">
        <v>1</v>
      </c>
      <c r="AG8" s="868">
        <v>1</v>
      </c>
      <c r="AH8" s="868">
        <v>1</v>
      </c>
      <c r="AI8" s="868">
        <v>1</v>
      </c>
      <c r="AJ8" s="868">
        <v>1</v>
      </c>
      <c r="AK8" s="868">
        <v>1</v>
      </c>
      <c r="AL8" s="868">
        <v>1</v>
      </c>
      <c r="AM8" s="868">
        <v>1</v>
      </c>
      <c r="AN8" s="868">
        <v>1</v>
      </c>
      <c r="AO8" s="868">
        <v>1</v>
      </c>
      <c r="AP8" s="868">
        <v>1</v>
      </c>
    </row>
    <row r="9" spans="1:42">
      <c r="A9" s="4" t="str">
        <f t="shared" si="0"/>
        <v>n4*ISDN30TZ</v>
      </c>
      <c r="B9" s="4" t="s">
        <v>639</v>
      </c>
      <c r="C9" s="4" t="s">
        <v>12</v>
      </c>
      <c r="D9" s="845">
        <v>5</v>
      </c>
      <c r="E9" s="845">
        <v>5</v>
      </c>
      <c r="F9" s="845">
        <v>5</v>
      </c>
      <c r="G9" s="845">
        <v>5</v>
      </c>
      <c r="H9" s="845">
        <v>5</v>
      </c>
      <c r="I9" s="845">
        <v>5</v>
      </c>
      <c r="J9" s="845">
        <v>5</v>
      </c>
      <c r="K9" s="845">
        <v>5</v>
      </c>
      <c r="L9" s="845">
        <v>5</v>
      </c>
      <c r="M9" s="284">
        <f t="shared" si="1"/>
        <v>510</v>
      </c>
      <c r="N9" s="284">
        <f t="shared" si="2"/>
        <v>102</v>
      </c>
      <c r="O9" s="868">
        <v>1</v>
      </c>
      <c r="P9" s="868">
        <v>1</v>
      </c>
      <c r="Q9" s="868">
        <v>1</v>
      </c>
      <c r="R9" s="868">
        <v>1</v>
      </c>
      <c r="S9" s="868">
        <v>1</v>
      </c>
      <c r="T9" s="868">
        <v>1</v>
      </c>
      <c r="U9" s="868">
        <v>1</v>
      </c>
      <c r="V9" s="868">
        <v>1</v>
      </c>
      <c r="W9" s="868">
        <v>1</v>
      </c>
      <c r="X9" s="868">
        <v>1</v>
      </c>
      <c r="Y9" s="868">
        <v>1</v>
      </c>
      <c r="Z9" s="868">
        <v>1</v>
      </c>
      <c r="AA9" s="868">
        <v>1</v>
      </c>
      <c r="AB9" s="868">
        <v>1</v>
      </c>
      <c r="AC9" s="868">
        <v>1</v>
      </c>
      <c r="AD9" s="868">
        <v>1</v>
      </c>
      <c r="AE9" s="868">
        <v>1</v>
      </c>
      <c r="AF9" s="868">
        <v>1</v>
      </c>
      <c r="AG9" s="868">
        <v>1</v>
      </c>
      <c r="AH9" s="868">
        <v>1</v>
      </c>
      <c r="AI9" s="868">
        <v>1</v>
      </c>
      <c r="AJ9" s="868">
        <v>1</v>
      </c>
      <c r="AK9" s="868">
        <v>1</v>
      </c>
      <c r="AL9" s="868">
        <v>1</v>
      </c>
      <c r="AM9" s="868">
        <v>1</v>
      </c>
      <c r="AN9" s="868">
        <v>1</v>
      </c>
      <c r="AO9" s="868">
        <v>1</v>
      </c>
      <c r="AP9" s="868">
        <v>1</v>
      </c>
    </row>
    <row r="11" spans="1:42">
      <c r="D11" s="305"/>
      <c r="E11" s="305"/>
      <c r="F11" s="305"/>
      <c r="G11" s="305"/>
      <c r="H11" s="305"/>
      <c r="I11" s="305"/>
      <c r="J11" s="305"/>
      <c r="K11" s="305"/>
      <c r="L11" s="305"/>
      <c r="M11" s="4" t="s">
        <v>712</v>
      </c>
      <c r="N11" s="4" t="s">
        <v>712</v>
      </c>
    </row>
    <row r="12" spans="1:42">
      <c r="D12" s="305"/>
      <c r="E12" s="305"/>
      <c r="F12" s="305"/>
      <c r="G12" s="305"/>
      <c r="H12" s="305"/>
      <c r="I12" s="305"/>
      <c r="J12" s="305"/>
      <c r="K12" s="305"/>
      <c r="L12" s="305"/>
      <c r="O12" s="452"/>
      <c r="P12" s="452"/>
      <c r="Q12" s="452"/>
      <c r="R12" s="452"/>
      <c r="S12" s="452"/>
      <c r="T12" s="452"/>
      <c r="U12" s="452"/>
      <c r="V12" s="452"/>
      <c r="W12" s="452"/>
      <c r="X12" s="452"/>
      <c r="Y12" s="452"/>
      <c r="Z12" s="452"/>
      <c r="AA12" s="452"/>
      <c r="AB12" s="452"/>
      <c r="AC12" s="452"/>
      <c r="AD12" s="452"/>
      <c r="AE12" s="452"/>
      <c r="AF12" s="452"/>
      <c r="AG12" s="452"/>
      <c r="AH12" s="452"/>
      <c r="AI12" s="452"/>
      <c r="AJ12" s="452"/>
      <c r="AK12" s="452"/>
      <c r="AL12" s="452"/>
    </row>
    <row r="13" spans="1:42">
      <c r="D13" s="305"/>
      <c r="E13" s="305"/>
      <c r="F13" s="305"/>
      <c r="G13" s="305"/>
      <c r="H13" s="305"/>
      <c r="I13" s="305"/>
      <c r="J13" s="305"/>
      <c r="K13" s="305"/>
      <c r="L13" s="305"/>
      <c r="O13" s="452"/>
      <c r="P13" s="452"/>
      <c r="Q13" s="452"/>
      <c r="R13" s="452"/>
      <c r="S13" s="452"/>
      <c r="T13" s="452"/>
      <c r="U13" s="452"/>
      <c r="V13" s="452"/>
      <c r="W13" s="452"/>
      <c r="X13" s="452"/>
      <c r="Y13" s="452"/>
      <c r="Z13" s="452"/>
      <c r="AA13" s="452"/>
      <c r="AB13" s="452"/>
      <c r="AC13" s="452"/>
      <c r="AD13" s="452"/>
      <c r="AE13" s="452"/>
      <c r="AF13" s="452"/>
      <c r="AG13" s="452"/>
      <c r="AH13" s="452"/>
      <c r="AI13" s="452"/>
      <c r="AJ13" s="452"/>
      <c r="AK13" s="452"/>
      <c r="AL13" s="452"/>
    </row>
    <row r="14" spans="1:42">
      <c r="D14" s="305"/>
      <c r="E14" s="305"/>
      <c r="F14" s="305"/>
      <c r="G14" s="305"/>
      <c r="H14" s="305"/>
      <c r="I14" s="305"/>
      <c r="J14" s="305"/>
      <c r="K14" s="305"/>
      <c r="L14" s="305"/>
      <c r="O14" s="452"/>
      <c r="P14" s="452"/>
      <c r="Q14" s="452"/>
      <c r="R14" s="452"/>
      <c r="S14" s="452"/>
      <c r="T14" s="452"/>
      <c r="U14" s="452"/>
      <c r="V14" s="452"/>
      <c r="W14" s="452"/>
      <c r="X14" s="452"/>
      <c r="Y14" s="452"/>
      <c r="Z14" s="452"/>
      <c r="AA14" s="452"/>
      <c r="AB14" s="452"/>
      <c r="AC14" s="452"/>
      <c r="AD14" s="452"/>
      <c r="AE14" s="452"/>
      <c r="AF14" s="452"/>
      <c r="AG14" s="452"/>
      <c r="AH14" s="452"/>
      <c r="AI14" s="452"/>
      <c r="AJ14" s="452"/>
      <c r="AK14" s="452"/>
      <c r="AL14" s="452"/>
    </row>
    <row r="15" spans="1:42">
      <c r="O15" s="452"/>
      <c r="P15" s="452"/>
      <c r="Q15" s="452"/>
      <c r="R15" s="452"/>
      <c r="S15" s="452"/>
      <c r="T15" s="452"/>
      <c r="U15" s="452"/>
      <c r="V15" s="452"/>
      <c r="W15" s="452"/>
      <c r="X15" s="452"/>
      <c r="Y15" s="452"/>
      <c r="Z15" s="452"/>
      <c r="AA15" s="452"/>
      <c r="AB15" s="452"/>
      <c r="AC15" s="452"/>
      <c r="AD15" s="452"/>
      <c r="AE15" s="452"/>
      <c r="AF15" s="452"/>
      <c r="AG15" s="452"/>
      <c r="AH15" s="452"/>
      <c r="AI15" s="452"/>
      <c r="AJ15" s="452"/>
      <c r="AK15" s="452"/>
      <c r="AL15" s="452"/>
    </row>
    <row r="16" spans="1:42">
      <c r="O16" s="452"/>
      <c r="P16" s="452"/>
      <c r="Q16" s="452"/>
      <c r="R16" s="452"/>
      <c r="S16" s="452"/>
      <c r="T16" s="452"/>
      <c r="U16" s="452"/>
      <c r="V16" s="452"/>
      <c r="W16" s="452"/>
      <c r="X16" s="452"/>
      <c r="Y16" s="452"/>
      <c r="Z16" s="452"/>
      <c r="AA16" s="452"/>
      <c r="AB16" s="452"/>
      <c r="AC16" s="452"/>
      <c r="AD16" s="452"/>
      <c r="AE16" s="452"/>
      <c r="AF16" s="452"/>
      <c r="AG16" s="452"/>
      <c r="AH16" s="452"/>
      <c r="AI16" s="452"/>
      <c r="AJ16" s="452"/>
      <c r="AK16" s="452"/>
      <c r="AL16" s="452"/>
    </row>
  </sheetData>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1"/>
  <dimension ref="B2:J77"/>
  <sheetViews>
    <sheetView topLeftCell="A31" workbookViewId="0">
      <selection activeCell="A41" sqref="A41"/>
    </sheetView>
  </sheetViews>
  <sheetFormatPr defaultColWidth="9.109375" defaultRowHeight="12"/>
  <cols>
    <col min="1" max="1" width="4.6640625" style="4" customWidth="1"/>
    <col min="2" max="2" width="32" style="4" bestFit="1" customWidth="1"/>
    <col min="3" max="3" width="32.109375" style="4" bestFit="1" customWidth="1"/>
    <col min="4" max="4" width="16.109375" style="4" bestFit="1" customWidth="1"/>
    <col min="5" max="5" width="43.88671875" style="4" customWidth="1"/>
    <col min="6" max="6" width="38.5546875" style="4" customWidth="1"/>
    <col min="7" max="7" width="67" style="4" bestFit="1" customWidth="1"/>
    <col min="8" max="8" width="39.44140625" style="4" bestFit="1" customWidth="1"/>
    <col min="9" max="9" width="39.109375" style="4" bestFit="1" customWidth="1"/>
    <col min="10" max="10" width="38" style="4" bestFit="1" customWidth="1"/>
    <col min="11" max="16384" width="9.109375" style="4"/>
  </cols>
  <sheetData>
    <row r="2" spans="2:8">
      <c r="B2" s="240" t="s">
        <v>553</v>
      </c>
    </row>
    <row r="3" spans="2:8">
      <c r="B3" s="181"/>
      <c r="F3" s="4" t="s">
        <v>904</v>
      </c>
      <c r="H3" s="4" t="s">
        <v>905</v>
      </c>
    </row>
    <row r="4" spans="2:8">
      <c r="B4" s="118" t="s">
        <v>3</v>
      </c>
      <c r="C4" s="118" t="s">
        <v>7</v>
      </c>
      <c r="D4" s="118" t="s">
        <v>457</v>
      </c>
      <c r="E4" s="118"/>
      <c r="F4" s="118" t="s">
        <v>411</v>
      </c>
      <c r="G4" s="118" t="s">
        <v>460</v>
      </c>
      <c r="H4" s="118" t="s">
        <v>906</v>
      </c>
    </row>
    <row r="5" spans="2:8">
      <c r="B5" s="4" t="str">
        <f>C5&amp;D5</f>
        <v>PSTNVVA</v>
      </c>
      <c r="C5" s="117" t="s">
        <v>463</v>
      </c>
      <c r="D5" s="117" t="s">
        <v>4</v>
      </c>
      <c r="F5" s="4" t="str">
        <f>G5</f>
        <v>WLR PSTN enkelvoudig Rental ChargeVVA</v>
      </c>
      <c r="G5" s="117" t="s">
        <v>442</v>
      </c>
      <c r="H5" s="4" t="str">
        <f>B5</f>
        <v>PSTNVVA</v>
      </c>
    </row>
    <row r="6" spans="2:8">
      <c r="B6" s="4" t="str">
        <f t="shared" ref="B6:B28" si="0">C6&amp;D6</f>
        <v>PSTNVVE nieuwe aanleg</v>
      </c>
      <c r="C6" s="117" t="s">
        <v>463</v>
      </c>
      <c r="D6" s="117" t="s">
        <v>458</v>
      </c>
      <c r="F6" s="4" t="str">
        <f t="shared" ref="F6:F28" si="1">G6</f>
        <v>WLR NLS PSTNAanleg</v>
      </c>
      <c r="G6" s="117" t="s">
        <v>445</v>
      </c>
      <c r="H6" s="4" t="str">
        <f t="shared" ref="H6:H28" si="2">B6</f>
        <v>PSTNVVE nieuwe aanleg</v>
      </c>
    </row>
    <row r="7" spans="2:8">
      <c r="B7" s="4" t="str">
        <f t="shared" si="0"/>
        <v>PSTNVVE overstap</v>
      </c>
      <c r="C7" s="117" t="s">
        <v>463</v>
      </c>
      <c r="D7" s="117" t="s">
        <v>459</v>
      </c>
      <c r="F7" s="4" t="str">
        <f t="shared" si="1"/>
        <v>WLR Overstap LCAanleg</v>
      </c>
      <c r="G7" s="117" t="s">
        <v>455</v>
      </c>
      <c r="H7" s="4" t="str">
        <f t="shared" si="2"/>
        <v>PSTNVVE overstap</v>
      </c>
    </row>
    <row r="8" spans="2:8">
      <c r="B8" s="4" t="str">
        <f t="shared" si="0"/>
        <v>ISDN1VVA</v>
      </c>
      <c r="C8" s="117" t="s">
        <v>464</v>
      </c>
      <c r="D8" s="117" t="s">
        <v>4</v>
      </c>
      <c r="F8" s="4" t="str">
        <f t="shared" si="1"/>
        <v>WLR ISDN 1 enkelvoudig Rental ChargeVVA</v>
      </c>
      <c r="G8" s="117" t="s">
        <v>443</v>
      </c>
      <c r="H8" s="4" t="str">
        <f t="shared" si="2"/>
        <v>ISDN1VVA</v>
      </c>
    </row>
    <row r="9" spans="2:8">
      <c r="B9" s="4" t="str">
        <f t="shared" si="0"/>
        <v>ISDN1VVE nieuwe aanleg</v>
      </c>
      <c r="C9" s="117" t="s">
        <v>464</v>
      </c>
      <c r="D9" s="117" t="s">
        <v>458</v>
      </c>
      <c r="F9" s="4" t="str">
        <f t="shared" si="1"/>
        <v>WLR NLS ISDN 1Aanleg</v>
      </c>
      <c r="G9" s="117" t="s">
        <v>446</v>
      </c>
      <c r="H9" s="4" t="str">
        <f t="shared" si="2"/>
        <v>ISDN1VVE nieuwe aanleg</v>
      </c>
    </row>
    <row r="10" spans="2:8">
      <c r="B10" s="4" t="str">
        <f t="shared" si="0"/>
        <v>ISDN1VVE overstap</v>
      </c>
      <c r="C10" s="117" t="s">
        <v>464</v>
      </c>
      <c r="D10" s="117" t="s">
        <v>459</v>
      </c>
      <c r="F10" s="4" t="str">
        <f t="shared" si="1"/>
        <v>WLR Overstap LCAanleg</v>
      </c>
      <c r="G10" s="117" t="s">
        <v>455</v>
      </c>
      <c r="H10" s="4" t="str">
        <f t="shared" si="2"/>
        <v>ISDN1VVE overstap</v>
      </c>
    </row>
    <row r="11" spans="2:8">
      <c r="B11" s="4" t="str">
        <f t="shared" si="0"/>
        <v>ISDN2VVA</v>
      </c>
      <c r="C11" s="117" t="s">
        <v>465</v>
      </c>
      <c r="D11" s="117" t="s">
        <v>4</v>
      </c>
      <c r="F11" s="4" t="str">
        <f t="shared" si="1"/>
        <v>WLR ISDN 2 enkelvoudig Rental ChargeVVA</v>
      </c>
      <c r="G11" s="117" t="s">
        <v>444</v>
      </c>
      <c r="H11" s="4" t="str">
        <f t="shared" si="2"/>
        <v>ISDN2VVA</v>
      </c>
    </row>
    <row r="12" spans="2:8">
      <c r="B12" s="4" t="str">
        <f t="shared" si="0"/>
        <v>ISDN2VVE nieuwe aanleg</v>
      </c>
      <c r="C12" s="117" t="s">
        <v>465</v>
      </c>
      <c r="D12" s="117" t="s">
        <v>458</v>
      </c>
      <c r="F12" s="4" t="str">
        <f t="shared" si="1"/>
        <v>WLR NLS ISDN 2 (doe het zelf, geen monteur)Aanleg</v>
      </c>
      <c r="G12" s="117" t="s">
        <v>447</v>
      </c>
      <c r="H12" s="4" t="str">
        <f t="shared" si="2"/>
        <v>ISDN2VVE nieuwe aanleg</v>
      </c>
    </row>
    <row r="13" spans="2:8">
      <c r="B13" s="4" t="str">
        <f t="shared" si="0"/>
        <v>ISDN2VVE overstap</v>
      </c>
      <c r="C13" s="117" t="s">
        <v>465</v>
      </c>
      <c r="D13" s="117" t="s">
        <v>459</v>
      </c>
      <c r="F13" s="4" t="str">
        <f t="shared" si="1"/>
        <v>WLR Overstap LCAanleg</v>
      </c>
      <c r="G13" s="117" t="s">
        <v>455</v>
      </c>
      <c r="H13" s="4" t="str">
        <f t="shared" si="2"/>
        <v>ISDN2VVE overstap</v>
      </c>
    </row>
    <row r="14" spans="2:8">
      <c r="B14" s="4" t="str">
        <f t="shared" si="0"/>
        <v>ISDN15VVA</v>
      </c>
      <c r="C14" s="117" t="s">
        <v>466</v>
      </c>
      <c r="D14" s="117" t="s">
        <v>4</v>
      </c>
      <c r="F14" s="4" t="s">
        <v>451</v>
      </c>
      <c r="G14" s="117" t="s">
        <v>461</v>
      </c>
      <c r="H14" s="4" t="str">
        <f t="shared" si="2"/>
        <v>ISDN15VVA</v>
      </c>
    </row>
    <row r="15" spans="2:8">
      <c r="B15" s="4" t="str">
        <f t="shared" si="0"/>
        <v>ISDN15VVE nieuwe aanleg</v>
      </c>
      <c r="C15" s="117" t="s">
        <v>466</v>
      </c>
      <c r="D15" s="117" t="s">
        <v>458</v>
      </c>
      <c r="F15" s="4" t="str">
        <f t="shared" si="1"/>
        <v>WLR NLS ISDN 15Aanleg</v>
      </c>
      <c r="G15" s="117" t="s">
        <v>448</v>
      </c>
      <c r="H15" s="4" t="str">
        <f t="shared" si="2"/>
        <v>ISDN15VVE nieuwe aanleg</v>
      </c>
    </row>
    <row r="16" spans="2:8">
      <c r="B16" s="4" t="str">
        <f t="shared" si="0"/>
        <v>ISDN15VVE overstap</v>
      </c>
      <c r="C16" s="117" t="s">
        <v>466</v>
      </c>
      <c r="D16" s="117" t="s">
        <v>459</v>
      </c>
      <c r="F16" s="4" t="str">
        <f t="shared" si="1"/>
        <v>WLR Overstap HCAanleg</v>
      </c>
      <c r="G16" s="117" t="s">
        <v>456</v>
      </c>
      <c r="H16" s="4" t="str">
        <f t="shared" si="2"/>
        <v>ISDN15VVE overstap</v>
      </c>
    </row>
    <row r="17" spans="2:8">
      <c r="B17" s="4" t="str">
        <f t="shared" si="0"/>
        <v>ISDN20VVA</v>
      </c>
      <c r="C17" s="117" t="s">
        <v>468</v>
      </c>
      <c r="D17" s="117" t="s">
        <v>4</v>
      </c>
      <c r="F17" s="4" t="s">
        <v>452</v>
      </c>
      <c r="G17" s="117" t="s">
        <v>462</v>
      </c>
      <c r="H17" s="4" t="str">
        <f t="shared" si="2"/>
        <v>ISDN20VVA</v>
      </c>
    </row>
    <row r="18" spans="2:8">
      <c r="B18" s="4" t="str">
        <f t="shared" si="0"/>
        <v>ISDN20VVE nieuwe aanleg</v>
      </c>
      <c r="C18" s="117" t="s">
        <v>468</v>
      </c>
      <c r="D18" s="117" t="s">
        <v>458</v>
      </c>
      <c r="F18" s="4" t="str">
        <f t="shared" si="1"/>
        <v>WLR NLS ISDN 20Aanleg</v>
      </c>
      <c r="G18" s="117" t="s">
        <v>449</v>
      </c>
      <c r="H18" s="4" t="str">
        <f t="shared" si="2"/>
        <v>ISDN20VVE nieuwe aanleg</v>
      </c>
    </row>
    <row r="19" spans="2:8">
      <c r="B19" s="4" t="str">
        <f t="shared" si="0"/>
        <v>ISDN20VVE overstap</v>
      </c>
      <c r="C19" s="117" t="s">
        <v>468</v>
      </c>
      <c r="D19" s="117" t="s">
        <v>459</v>
      </c>
      <c r="F19" s="4" t="str">
        <f t="shared" si="1"/>
        <v>WLR Overstap HCAanleg</v>
      </c>
      <c r="G19" s="117" t="s">
        <v>456</v>
      </c>
      <c r="H19" s="4" t="str">
        <f t="shared" si="2"/>
        <v>ISDN20VVE overstap</v>
      </c>
    </row>
    <row r="20" spans="2:8">
      <c r="B20" s="4" t="str">
        <f t="shared" si="0"/>
        <v>ISDN30 eerste aansluitingVVA</v>
      </c>
      <c r="C20" s="117" t="s">
        <v>869</v>
      </c>
      <c r="D20" s="117" t="s">
        <v>4</v>
      </c>
      <c r="F20" s="4" t="s">
        <v>453</v>
      </c>
      <c r="G20" s="117" t="s">
        <v>450</v>
      </c>
      <c r="H20" s="4" t="str">
        <f t="shared" si="2"/>
        <v>ISDN30 eerste aansluitingVVA</v>
      </c>
    </row>
    <row r="21" spans="2:8">
      <c r="B21" s="4" t="str">
        <f t="shared" si="0"/>
        <v>ISDN30 eerste aansluitingVVE nieuwe aanleg</v>
      </c>
      <c r="C21" s="117" t="s">
        <v>869</v>
      </c>
      <c r="D21" s="117" t="s">
        <v>458</v>
      </c>
      <c r="F21" s="4" t="str">
        <f t="shared" si="1"/>
        <v>WLR NLS ISDN 30 / ISDN 30 CPAAanleg</v>
      </c>
      <c r="G21" s="117" t="s">
        <v>450</v>
      </c>
      <c r="H21" s="4" t="str">
        <f t="shared" si="2"/>
        <v>ISDN30 eerste aansluitingVVE nieuwe aanleg</v>
      </c>
    </row>
    <row r="22" spans="2:8">
      <c r="B22" s="4" t="str">
        <f t="shared" si="0"/>
        <v>ISDN30 eerste aansluitingVVE overstap</v>
      </c>
      <c r="C22" s="117" t="s">
        <v>869</v>
      </c>
      <c r="D22" s="117" t="s">
        <v>459</v>
      </c>
      <c r="F22" s="4" t="str">
        <f t="shared" si="1"/>
        <v>WLR Overstap HCAanleg</v>
      </c>
      <c r="G22" s="117" t="s">
        <v>456</v>
      </c>
      <c r="H22" s="4" t="str">
        <f t="shared" si="2"/>
        <v>ISDN30 eerste aansluitingVVE overstap</v>
      </c>
    </row>
    <row r="23" spans="2:8">
      <c r="B23" s="4" t="str">
        <f t="shared" si="0"/>
        <v>ISDN30 volgende aansluitingVVA</v>
      </c>
      <c r="C23" s="117" t="s">
        <v>870</v>
      </c>
      <c r="D23" s="117" t="s">
        <v>4</v>
      </c>
      <c r="F23" s="4" t="s">
        <v>453</v>
      </c>
      <c r="G23" s="117" t="s">
        <v>450</v>
      </c>
      <c r="H23" s="4" t="str">
        <f t="shared" si="2"/>
        <v>ISDN30 volgende aansluitingVVA</v>
      </c>
    </row>
    <row r="24" spans="2:8">
      <c r="B24" s="4" t="str">
        <f t="shared" si="0"/>
        <v>ISDN30 volgende aansluitingVVE nieuwe aanleg</v>
      </c>
      <c r="C24" s="117" t="s">
        <v>870</v>
      </c>
      <c r="D24" s="117" t="s">
        <v>458</v>
      </c>
      <c r="F24" s="4" t="str">
        <f t="shared" si="1"/>
        <v>WLR NLS ISDN 30 / ISDN 30 CPA volgende aansluiting op zelfde aansluitpuntAanleg</v>
      </c>
      <c r="G24" s="117" t="s">
        <v>757</v>
      </c>
      <c r="H24" s="4" t="str">
        <f t="shared" si="2"/>
        <v>ISDN30 volgende aansluitingVVE nieuwe aanleg</v>
      </c>
    </row>
    <row r="25" spans="2:8">
      <c r="B25" s="4" t="str">
        <f t="shared" si="0"/>
        <v>ISDN30 volgende aansluitingVVE overstap</v>
      </c>
      <c r="C25" s="117" t="s">
        <v>870</v>
      </c>
      <c r="D25" s="117" t="s">
        <v>459</v>
      </c>
      <c r="F25" s="4" t="str">
        <f t="shared" si="1"/>
        <v>WLR Overstap HCAanleg</v>
      </c>
      <c r="G25" s="117" t="s">
        <v>456</v>
      </c>
      <c r="H25" s="4" t="str">
        <f t="shared" si="2"/>
        <v>ISDN30 volgende aansluitingVVE overstap</v>
      </c>
    </row>
    <row r="26" spans="2:8">
      <c r="B26" s="4" t="str">
        <f t="shared" si="0"/>
        <v>CityPhoneVVA</v>
      </c>
      <c r="C26" s="117" t="s">
        <v>470</v>
      </c>
      <c r="D26" s="117" t="s">
        <v>4</v>
      </c>
      <c r="F26" s="4" t="s">
        <v>454</v>
      </c>
      <c r="G26" s="117" t="s">
        <v>450</v>
      </c>
      <c r="H26" s="4" t="str">
        <f t="shared" si="2"/>
        <v>CityPhoneVVA</v>
      </c>
    </row>
    <row r="27" spans="2:8">
      <c r="B27" s="4" t="str">
        <f t="shared" si="0"/>
        <v>CityPhoneVVE nieuwe aanleg</v>
      </c>
      <c r="C27" s="117" t="s">
        <v>470</v>
      </c>
      <c r="D27" s="117" t="s">
        <v>458</v>
      </c>
      <c r="F27" s="4" t="str">
        <f t="shared" si="1"/>
        <v>WLR NLS ISDN 30 / ISDN 30 CPAAanleg</v>
      </c>
      <c r="G27" s="117" t="s">
        <v>450</v>
      </c>
      <c r="H27" s="4" t="str">
        <f t="shared" si="2"/>
        <v>CityPhoneVVE nieuwe aanleg</v>
      </c>
    </row>
    <row r="28" spans="2:8">
      <c r="B28" s="4" t="str">
        <f t="shared" si="0"/>
        <v>CityPhoneVVE overstap</v>
      </c>
      <c r="C28" s="117" t="s">
        <v>470</v>
      </c>
      <c r="D28" s="117" t="s">
        <v>459</v>
      </c>
      <c r="F28" s="4" t="str">
        <f t="shared" si="1"/>
        <v>WLR Overstap HCAanleg</v>
      </c>
      <c r="G28" s="117" t="s">
        <v>456</v>
      </c>
      <c r="H28" s="4" t="str">
        <f t="shared" si="2"/>
        <v>CityPhoneVVE overstap</v>
      </c>
    </row>
    <row r="31" spans="2:8">
      <c r="B31" s="240" t="s">
        <v>554</v>
      </c>
    </row>
    <row r="32" spans="2:8">
      <c r="B32" s="181"/>
    </row>
    <row r="33" spans="2:10">
      <c r="B33" s="118" t="s">
        <v>3</v>
      </c>
      <c r="C33" s="118" t="s">
        <v>7</v>
      </c>
      <c r="D33" s="118"/>
      <c r="E33" s="118" t="s">
        <v>440</v>
      </c>
      <c r="F33" s="118" t="s">
        <v>439</v>
      </c>
      <c r="G33" s="118"/>
      <c r="H33" s="118"/>
      <c r="I33" s="118" t="s">
        <v>693</v>
      </c>
      <c r="J33" s="118" t="s">
        <v>694</v>
      </c>
    </row>
    <row r="34" spans="2:10">
      <c r="B34" s="4" t="str">
        <f>C34&amp;D34</f>
        <v>Aankiesbare onderlijn</v>
      </c>
      <c r="C34" s="12" t="s">
        <v>532</v>
      </c>
      <c r="D34" s="12"/>
      <c r="E34" s="117" t="s">
        <v>561</v>
      </c>
      <c r="F34" s="117" t="s">
        <v>567</v>
      </c>
      <c r="G34" s="110"/>
      <c r="H34" s="110"/>
      <c r="I34" s="4" t="str">
        <f>"KPN"&amp;C34</f>
        <v>KPNAankiesbare onderlijn</v>
      </c>
      <c r="J34" s="4" t="str">
        <f>"TZ"&amp;C34</f>
        <v>TZAankiesbare onderlijn</v>
      </c>
    </row>
    <row r="35" spans="2:10">
      <c r="B35" s="4" t="str">
        <f t="shared" ref="B35:B77" si="3">C35&amp;D35</f>
        <v>CalamiteitenService &lt;= 30 kanalen</v>
      </c>
      <c r="C35" s="12" t="s">
        <v>533</v>
      </c>
      <c r="D35" s="12"/>
      <c r="E35" s="117" t="s">
        <v>562</v>
      </c>
      <c r="F35" s="117" t="s">
        <v>563</v>
      </c>
      <c r="G35" s="110"/>
      <c r="H35" s="110"/>
      <c r="I35" s="4" t="str">
        <f t="shared" ref="I35:I62" si="4">"KPN"&amp;C35</f>
        <v>KPNCalamiteitenService &lt;= 30 kanalen</v>
      </c>
      <c r="J35" s="4" t="str">
        <f t="shared" ref="J35:J63" si="5">"TZ"&amp;C35</f>
        <v>TZCalamiteitenService &lt;= 30 kanalen</v>
      </c>
    </row>
    <row r="36" spans="2:10">
      <c r="B36" s="4" t="str">
        <f t="shared" si="3"/>
        <v>Calamiteitenvoorziening &lt;= 60 kanalen</v>
      </c>
      <c r="C36" s="12" t="s">
        <v>534</v>
      </c>
      <c r="D36" s="12"/>
      <c r="E36" s="117" t="s">
        <v>571</v>
      </c>
      <c r="F36" s="117" t="s">
        <v>572</v>
      </c>
      <c r="G36" s="110"/>
      <c r="H36" s="110"/>
      <c r="I36" s="4" t="str">
        <f t="shared" si="4"/>
        <v>KPNCalamiteitenvoorziening &lt;= 60 kanalen</v>
      </c>
      <c r="J36" s="4" t="str">
        <f t="shared" si="5"/>
        <v>TZCalamiteitenvoorziening &lt;= 60 kanalen</v>
      </c>
    </row>
    <row r="37" spans="2:10">
      <c r="B37" s="4" t="str">
        <f t="shared" si="3"/>
        <v>Doorkiezen</v>
      </c>
      <c r="C37" s="12" t="s">
        <v>535</v>
      </c>
      <c r="D37" s="12"/>
      <c r="E37" s="117" t="s">
        <v>573</v>
      </c>
      <c r="F37" s="117" t="s">
        <v>574</v>
      </c>
      <c r="G37" s="110"/>
      <c r="H37" s="110"/>
      <c r="I37" s="4" t="str">
        <f t="shared" si="4"/>
        <v>KPNDoorkiezen</v>
      </c>
      <c r="J37" s="4" t="str">
        <f t="shared" si="5"/>
        <v>TZDoorkiezen</v>
      </c>
    </row>
    <row r="38" spans="2:10">
      <c r="B38" s="4" t="str">
        <f t="shared" si="3"/>
        <v>Doorschakeldienst t/m 6 kanalen</v>
      </c>
      <c r="C38" s="12" t="s">
        <v>536</v>
      </c>
      <c r="D38" s="12"/>
      <c r="E38" s="117" t="s">
        <v>575</v>
      </c>
      <c r="F38" s="117" t="s">
        <v>577</v>
      </c>
      <c r="G38" s="110"/>
      <c r="H38" s="110"/>
      <c r="I38" s="4" t="str">
        <f t="shared" si="4"/>
        <v>KPNDoorschakeldienst t/m 6 kanalen</v>
      </c>
      <c r="J38" s="4" t="str">
        <f t="shared" si="5"/>
        <v>TZDoorschakeldienst t/m 6 kanalen</v>
      </c>
    </row>
    <row r="39" spans="2:10">
      <c r="B39" s="4" t="str">
        <f t="shared" si="3"/>
        <v>Doorschakeldienst MV &gt; 6 kanalen</v>
      </c>
      <c r="C39" s="12" t="s">
        <v>537</v>
      </c>
      <c r="D39" s="12"/>
      <c r="E39" s="117" t="s">
        <v>576</v>
      </c>
      <c r="F39" s="117" t="s">
        <v>578</v>
      </c>
      <c r="G39" s="110"/>
      <c r="H39" s="110"/>
      <c r="I39" s="4" t="str">
        <f t="shared" si="4"/>
        <v>KPNDoorschakeldienst MV &gt; 6 kanalen</v>
      </c>
      <c r="J39" s="4" t="str">
        <f t="shared" si="5"/>
        <v>TZDoorschakeldienst MV &gt; 6 kanalen</v>
      </c>
    </row>
    <row r="40" spans="2:10">
      <c r="B40" s="4" t="str">
        <f t="shared" si="3"/>
        <v>Extra nummer</v>
      </c>
      <c r="C40" s="12" t="s">
        <v>538</v>
      </c>
      <c r="D40" s="12"/>
      <c r="E40" s="117" t="s">
        <v>579</v>
      </c>
      <c r="F40" s="117" t="s">
        <v>579</v>
      </c>
      <c r="G40" s="110"/>
      <c r="H40" s="110"/>
      <c r="I40" s="4" t="str">
        <f t="shared" si="4"/>
        <v>KPNExtra nummer</v>
      </c>
      <c r="J40" s="4" t="str">
        <f t="shared" si="5"/>
        <v>TZExtra nummer</v>
      </c>
    </row>
    <row r="41" spans="2:10">
      <c r="B41" s="4" t="str">
        <f t="shared" si="3"/>
        <v>Groepsnummer PSTN</v>
      </c>
      <c r="C41" s="777" t="s">
        <v>1219</v>
      </c>
      <c r="D41" s="12"/>
      <c r="E41" s="117" t="s">
        <v>580</v>
      </c>
      <c r="F41" s="117" t="s">
        <v>581</v>
      </c>
      <c r="G41" s="110"/>
      <c r="H41" s="110"/>
      <c r="I41" s="4" t="str">
        <f t="shared" si="4"/>
        <v>KPNGroepsnummer PSTN</v>
      </c>
      <c r="J41" s="4" t="s">
        <v>1221</v>
      </c>
    </row>
    <row r="42" spans="2:10">
      <c r="B42" s="4" t="str">
        <f t="shared" si="3"/>
        <v>Groepsnummer ISDN2</v>
      </c>
      <c r="C42" s="777" t="s">
        <v>1220</v>
      </c>
      <c r="D42" s="12"/>
      <c r="E42" s="117" t="s">
        <v>580</v>
      </c>
      <c r="F42" s="117" t="s">
        <v>581</v>
      </c>
      <c r="G42" s="110"/>
      <c r="H42" s="110"/>
      <c r="I42" s="4" t="str">
        <f t="shared" si="4"/>
        <v>KPNGroepsnummer ISDN2</v>
      </c>
      <c r="J42" s="4" t="s">
        <v>1222</v>
      </c>
    </row>
    <row r="43" spans="2:10">
      <c r="B43" s="4" t="str">
        <f t="shared" si="3"/>
        <v>Kostenindicatie</v>
      </c>
      <c r="C43" s="12" t="s">
        <v>539</v>
      </c>
      <c r="D43" s="12"/>
      <c r="E43" s="117" t="s">
        <v>582</v>
      </c>
      <c r="F43" s="117" t="s">
        <v>583</v>
      </c>
      <c r="G43" s="110"/>
      <c r="H43" s="110"/>
      <c r="I43" s="4" t="str">
        <f t="shared" si="4"/>
        <v>KPNKostenindicatie</v>
      </c>
      <c r="J43" s="4" t="str">
        <f t="shared" si="5"/>
        <v>TZKostenindicatie</v>
      </c>
    </row>
    <row r="44" spans="2:10">
      <c r="B44" s="4" t="str">
        <f t="shared" si="3"/>
        <v>MSN nummer</v>
      </c>
      <c r="C44" s="12" t="s">
        <v>540</v>
      </c>
      <c r="D44" s="12"/>
      <c r="E44" s="117" t="s">
        <v>584</v>
      </c>
      <c r="F44" s="117" t="s">
        <v>585</v>
      </c>
      <c r="G44" s="110"/>
      <c r="H44" s="110"/>
      <c r="I44" s="4" t="str">
        <f t="shared" si="4"/>
        <v>KPNMSN nummer</v>
      </c>
      <c r="J44" s="4" t="str">
        <f t="shared" si="5"/>
        <v>TZMSN nummer</v>
      </c>
    </row>
    <row r="45" spans="2:10">
      <c r="B45" s="4" t="str">
        <f t="shared" si="3"/>
        <v>Nummerblok 10 eerste</v>
      </c>
      <c r="C45" s="12" t="s">
        <v>541</v>
      </c>
      <c r="D45" s="12"/>
      <c r="E45" s="117" t="s">
        <v>555</v>
      </c>
      <c r="F45" s="117" t="s">
        <v>564</v>
      </c>
      <c r="G45" s="110"/>
      <c r="H45" s="110"/>
      <c r="I45" s="4" t="str">
        <f t="shared" si="4"/>
        <v>KPNNummerblok 10 eerste</v>
      </c>
      <c r="J45" s="4" t="str">
        <f t="shared" si="5"/>
        <v>TZNummerblok 10 eerste</v>
      </c>
    </row>
    <row r="46" spans="2:10">
      <c r="B46" s="4" t="str">
        <f t="shared" si="3"/>
        <v>Nummerblok 10 volgende</v>
      </c>
      <c r="C46" s="12" t="s">
        <v>542</v>
      </c>
      <c r="D46" s="12"/>
      <c r="E46" s="117" t="s">
        <v>558</v>
      </c>
      <c r="F46" s="117" t="s">
        <v>568</v>
      </c>
      <c r="G46" s="110"/>
      <c r="H46" s="110"/>
      <c r="I46" s="4" t="str">
        <f t="shared" si="4"/>
        <v>KPNNummerblok 10 volgende</v>
      </c>
      <c r="J46" s="4" t="str">
        <f t="shared" si="5"/>
        <v>TZNummerblok 10 volgende</v>
      </c>
    </row>
    <row r="47" spans="2:10">
      <c r="B47" s="4" t="str">
        <f t="shared" si="3"/>
        <v>Nummerblok 100 eerste</v>
      </c>
      <c r="C47" s="12" t="s">
        <v>543</v>
      </c>
      <c r="D47" s="12"/>
      <c r="E47" s="117" t="s">
        <v>556</v>
      </c>
      <c r="F47" s="117" t="s">
        <v>565</v>
      </c>
      <c r="G47" s="110"/>
      <c r="H47" s="110"/>
      <c r="I47" s="4" t="str">
        <f t="shared" si="4"/>
        <v>KPNNummerblok 100 eerste</v>
      </c>
      <c r="J47" s="4" t="str">
        <f t="shared" si="5"/>
        <v>TZNummerblok 100 eerste</v>
      </c>
    </row>
    <row r="48" spans="2:10">
      <c r="B48" s="4" t="str">
        <f t="shared" si="3"/>
        <v>Nummerblok 100 volgende</v>
      </c>
      <c r="C48" s="12" t="s">
        <v>544</v>
      </c>
      <c r="D48" s="12"/>
      <c r="E48" s="117" t="s">
        <v>559</v>
      </c>
      <c r="F48" s="117" t="s">
        <v>569</v>
      </c>
      <c r="G48" s="110"/>
      <c r="H48" s="110"/>
      <c r="I48" s="4" t="str">
        <f t="shared" si="4"/>
        <v>KPNNummerblok 100 volgende</v>
      </c>
      <c r="J48" s="4" t="str">
        <f t="shared" si="5"/>
        <v>TZNummerblok 100 volgende</v>
      </c>
    </row>
    <row r="49" spans="2:10">
      <c r="B49" s="4" t="str">
        <f t="shared" si="3"/>
        <v>Nummerblok 1000 eerste</v>
      </c>
      <c r="C49" s="12" t="s">
        <v>545</v>
      </c>
      <c r="D49" s="12"/>
      <c r="E49" s="117" t="s">
        <v>557</v>
      </c>
      <c r="F49" s="117" t="s">
        <v>566</v>
      </c>
      <c r="G49" s="110"/>
      <c r="H49" s="110"/>
      <c r="I49" s="4" t="str">
        <f t="shared" si="4"/>
        <v>KPNNummerblok 1000 eerste</v>
      </c>
      <c r="J49" s="4" t="str">
        <f t="shared" si="5"/>
        <v>TZNummerblok 1000 eerste</v>
      </c>
    </row>
    <row r="50" spans="2:10">
      <c r="B50" s="4" t="str">
        <f t="shared" si="3"/>
        <v>Nummerblok 1000 volgende</v>
      </c>
      <c r="C50" s="12" t="s">
        <v>546</v>
      </c>
      <c r="D50" s="12"/>
      <c r="E50" s="117" t="s">
        <v>560</v>
      </c>
      <c r="F50" s="117" t="s">
        <v>570</v>
      </c>
      <c r="G50" s="110"/>
      <c r="H50" s="110"/>
      <c r="I50" s="4" t="str">
        <f t="shared" si="4"/>
        <v>KPNNummerblok 1000 volgende</v>
      </c>
      <c r="J50" s="4" t="str">
        <f t="shared" si="5"/>
        <v>TZNummerblok 1000 volgende</v>
      </c>
    </row>
    <row r="51" spans="2:10">
      <c r="B51" s="4" t="str">
        <f>C51&amp;D51</f>
        <v>Nummerblok 10000 eerste</v>
      </c>
      <c r="C51" s="12" t="s">
        <v>682</v>
      </c>
      <c r="D51" s="12"/>
      <c r="E51" s="117" t="s">
        <v>657</v>
      </c>
      <c r="F51" s="117" t="s">
        <v>658</v>
      </c>
      <c r="G51" s="110"/>
      <c r="H51" s="110"/>
      <c r="I51" s="4" t="str">
        <f t="shared" si="4"/>
        <v>KPNNummerblok 10000 eerste</v>
      </c>
      <c r="J51" s="4" t="str">
        <f t="shared" si="5"/>
        <v>TZNummerblok 10000 eerste</v>
      </c>
    </row>
    <row r="52" spans="2:10">
      <c r="B52" s="4" t="str">
        <f t="shared" si="3"/>
        <v>Nummerblok 10000 volgende</v>
      </c>
      <c r="C52" s="12" t="s">
        <v>683</v>
      </c>
      <c r="D52" s="12"/>
      <c r="E52" s="117" t="s">
        <v>687</v>
      </c>
      <c r="F52" s="117" t="s">
        <v>688</v>
      </c>
      <c r="G52" s="110"/>
      <c r="H52" s="110"/>
      <c r="I52" s="4" t="str">
        <f t="shared" si="4"/>
        <v>KPNNummerblok 10000 volgende</v>
      </c>
      <c r="J52" s="4" t="str">
        <f t="shared" si="5"/>
        <v>TZNummerblok 10000 volgende</v>
      </c>
    </row>
    <row r="53" spans="2:10">
      <c r="B53" s="4" t="str">
        <f t="shared" si="3"/>
        <v>Nummerweergave</v>
      </c>
      <c r="C53" s="12" t="s">
        <v>547</v>
      </c>
      <c r="D53" s="12"/>
      <c r="E53" s="117" t="s">
        <v>586</v>
      </c>
      <c r="F53" s="117" t="s">
        <v>586</v>
      </c>
      <c r="G53" s="110"/>
      <c r="H53" s="110"/>
      <c r="I53" s="4" t="str">
        <f t="shared" si="4"/>
        <v>KPNNummerweergave</v>
      </c>
      <c r="J53" s="4" t="str">
        <f t="shared" si="5"/>
        <v>TZNummerweergave</v>
      </c>
    </row>
    <row r="54" spans="2:10">
      <c r="B54" s="4" t="str">
        <f t="shared" si="3"/>
        <v>Service Contract Premium A</v>
      </c>
      <c r="C54" s="12" t="s">
        <v>548</v>
      </c>
      <c r="D54" s="12"/>
      <c r="E54" s="117" t="s">
        <v>587</v>
      </c>
      <c r="F54" s="117" t="s">
        <v>587</v>
      </c>
      <c r="G54" s="110"/>
      <c r="H54" s="110"/>
      <c r="I54" s="4" t="str">
        <f t="shared" si="4"/>
        <v>KPNService Contract Premium A</v>
      </c>
      <c r="J54" s="4" t="str">
        <f t="shared" si="5"/>
        <v>TZService Contract Premium A</v>
      </c>
    </row>
    <row r="55" spans="2:10">
      <c r="B55" s="4" t="str">
        <f t="shared" si="3"/>
        <v>Service Contract Premium B</v>
      </c>
      <c r="C55" s="12" t="s">
        <v>549</v>
      </c>
      <c r="D55" s="12"/>
      <c r="E55" s="117" t="s">
        <v>587</v>
      </c>
      <c r="F55" s="117" t="s">
        <v>587</v>
      </c>
      <c r="G55" s="110"/>
      <c r="H55" s="110"/>
      <c r="I55" s="4" t="str">
        <f t="shared" si="4"/>
        <v>KPNService Contract Premium B</v>
      </c>
      <c r="J55" s="4" t="str">
        <f t="shared" si="5"/>
        <v>TZService Contract Premium B</v>
      </c>
    </row>
    <row r="56" spans="2:10">
      <c r="B56" s="4" t="str">
        <f t="shared" si="3"/>
        <v>Subadressering</v>
      </c>
      <c r="C56" s="12" t="s">
        <v>550</v>
      </c>
      <c r="D56" s="12"/>
      <c r="E56" s="117" t="s">
        <v>588</v>
      </c>
      <c r="F56" s="117" t="s">
        <v>589</v>
      </c>
      <c r="G56" s="110"/>
      <c r="H56" s="110"/>
      <c r="I56" s="4" t="str">
        <f t="shared" si="4"/>
        <v>KPNSubadressering</v>
      </c>
      <c r="J56" s="4" t="str">
        <f t="shared" si="5"/>
        <v>TZSubadressering</v>
      </c>
    </row>
    <row r="57" spans="2:10">
      <c r="B57" s="4" t="str">
        <f t="shared" si="3"/>
        <v>Verwijsdienst</v>
      </c>
      <c r="C57" s="12" t="s">
        <v>339</v>
      </c>
      <c r="D57" s="12"/>
      <c r="E57" s="117" t="s">
        <v>590</v>
      </c>
      <c r="F57" s="117" t="s">
        <v>591</v>
      </c>
      <c r="G57" s="110"/>
      <c r="H57" s="110"/>
      <c r="I57" s="4" t="str">
        <f t="shared" si="4"/>
        <v>KPNVerwijsdienst</v>
      </c>
      <c r="J57" s="4" t="str">
        <f t="shared" si="5"/>
        <v>TZVerwijsdienst</v>
      </c>
    </row>
    <row r="58" spans="2:10">
      <c r="B58" s="4" t="str">
        <f t="shared" si="3"/>
        <v>Verwijsdienst t/m 6 kanalen</v>
      </c>
      <c r="C58" s="12" t="s">
        <v>551</v>
      </c>
      <c r="D58" s="12"/>
      <c r="E58" s="117" t="s">
        <v>590</v>
      </c>
      <c r="F58" s="117" t="s">
        <v>591</v>
      </c>
      <c r="G58" s="110"/>
      <c r="H58" s="110"/>
      <c r="I58" s="4" t="str">
        <f t="shared" si="4"/>
        <v>KPNVerwijsdienst t/m 6 kanalen</v>
      </c>
      <c r="J58" s="4" t="str">
        <f t="shared" si="5"/>
        <v>TZVerwijsdienst t/m 6 kanalen</v>
      </c>
    </row>
    <row r="59" spans="2:10">
      <c r="B59" s="4" t="str">
        <f t="shared" si="3"/>
        <v>Wisselgesprek</v>
      </c>
      <c r="C59" s="12" t="s">
        <v>552</v>
      </c>
      <c r="D59" s="12"/>
      <c r="E59" s="117" t="s">
        <v>592</v>
      </c>
      <c r="F59" s="117" t="s">
        <v>592</v>
      </c>
      <c r="G59" s="110"/>
      <c r="H59" s="110"/>
      <c r="I59" s="4" t="str">
        <f t="shared" si="4"/>
        <v>KPNWisselgesprek</v>
      </c>
      <c r="J59" s="4" t="str">
        <f t="shared" si="5"/>
        <v>TZWisselgesprek</v>
      </c>
    </row>
    <row r="60" spans="2:10">
      <c r="B60" s="4" t="str">
        <f t="shared" si="3"/>
        <v>omzet Faciliteiten overig</v>
      </c>
      <c r="C60" s="12" t="s">
        <v>600</v>
      </c>
      <c r="E60" s="117" t="s">
        <v>603</v>
      </c>
      <c r="F60" s="117" t="s">
        <v>603</v>
      </c>
      <c r="G60" s="110"/>
      <c r="H60" s="110"/>
      <c r="I60" s="4" t="str">
        <f t="shared" si="4"/>
        <v>KPNomzet Faciliteiten overig</v>
      </c>
      <c r="J60" s="4" t="str">
        <f t="shared" si="5"/>
        <v>TZomzet Faciliteiten overig</v>
      </c>
    </row>
    <row r="61" spans="2:10">
      <c r="B61" s="4" t="str">
        <f t="shared" si="3"/>
        <v>De Zakelijke Doorschakeldienst Aansluiting</v>
      </c>
      <c r="C61" s="12" t="s">
        <v>684</v>
      </c>
      <c r="D61" s="12"/>
      <c r="E61" s="117" t="s">
        <v>689</v>
      </c>
      <c r="F61" s="117" t="s">
        <v>690</v>
      </c>
      <c r="G61" s="110"/>
      <c r="H61" s="110"/>
      <c r="I61" s="4" t="str">
        <f t="shared" si="4"/>
        <v>KPNDe Zakelijke Doorschakeldienst Aansluiting</v>
      </c>
      <c r="J61" s="4" t="str">
        <f t="shared" si="5"/>
        <v>TZDe Zakelijke Doorschakeldienst Aansluiting</v>
      </c>
    </row>
    <row r="62" spans="2:10">
      <c r="B62" s="4" t="str">
        <f t="shared" si="3"/>
        <v>DZD mutaties enkele nummers</v>
      </c>
      <c r="C62" s="12" t="s">
        <v>685</v>
      </c>
      <c r="E62" s="117" t="s">
        <v>603</v>
      </c>
      <c r="F62" s="117" t="s">
        <v>691</v>
      </c>
      <c r="G62" s="110"/>
      <c r="H62" s="110"/>
      <c r="I62" s="4" t="str">
        <f t="shared" si="4"/>
        <v>KPNDZD mutaties enkele nummers</v>
      </c>
      <c r="J62" s="4" t="str">
        <f t="shared" si="5"/>
        <v>TZDZD mutaties enkele nummers</v>
      </c>
    </row>
    <row r="63" spans="2:10">
      <c r="B63" s="4" t="str">
        <f t="shared" si="3"/>
        <v>DZD mutaties nummerblokken</v>
      </c>
      <c r="C63" s="12" t="s">
        <v>686</v>
      </c>
      <c r="E63" s="117" t="s">
        <v>603</v>
      </c>
      <c r="F63" s="117" t="s">
        <v>692</v>
      </c>
      <c r="G63" s="110"/>
      <c r="H63" s="110"/>
      <c r="I63" s="4" t="str">
        <f>"KPN"&amp;C63</f>
        <v>KPNDZD mutaties nummerblokken</v>
      </c>
      <c r="J63" s="4" t="str">
        <f t="shared" si="5"/>
        <v>TZDZD mutaties nummerblokken</v>
      </c>
    </row>
    <row r="64" spans="2:10">
      <c r="B64" s="4" t="str">
        <f t="shared" si="3"/>
        <v>BC IS 100 (1 tm 4 kanalen)</v>
      </c>
      <c r="C64" s="12" t="s">
        <v>696</v>
      </c>
      <c r="E64" s="117" t="s">
        <v>603</v>
      </c>
      <c r="F64" s="117" t="s">
        <v>603</v>
      </c>
      <c r="G64" s="110"/>
      <c r="H64" s="110"/>
      <c r="I64" s="4" t="str">
        <f t="shared" ref="I64:I72" si="6">"KPN"&amp;C64</f>
        <v>KPNBC IS 100 (1 tm 4 kanalen)</v>
      </c>
      <c r="J64" s="4" t="str">
        <f t="shared" ref="J64:J72" si="7">"TZ"&amp;C64</f>
        <v>TZBC IS 100 (1 tm 4 kanalen)</v>
      </c>
    </row>
    <row r="65" spans="2:10">
      <c r="B65" s="4" t="str">
        <f t="shared" si="3"/>
        <v>BC IS 100 (5 tm 10 kanalen)</v>
      </c>
      <c r="C65" s="12" t="s">
        <v>697</v>
      </c>
      <c r="E65" s="117" t="s">
        <v>603</v>
      </c>
      <c r="F65" s="117" t="s">
        <v>603</v>
      </c>
      <c r="G65" s="110"/>
      <c r="H65" s="110"/>
      <c r="I65" s="4" t="str">
        <f t="shared" si="6"/>
        <v>KPNBC IS 100 (5 tm 10 kanalen)</v>
      </c>
      <c r="J65" s="4" t="str">
        <f t="shared" si="7"/>
        <v>TZBC IS 100 (5 tm 10 kanalen)</v>
      </c>
    </row>
    <row r="66" spans="2:10">
      <c r="B66" s="4" t="str">
        <f t="shared" si="3"/>
        <v>BC IS 300</v>
      </c>
      <c r="C66" s="12" t="s">
        <v>698</v>
      </c>
      <c r="E66" s="117" t="s">
        <v>603</v>
      </c>
      <c r="F66" s="117" t="s">
        <v>603</v>
      </c>
      <c r="G66" s="110"/>
      <c r="H66" s="110"/>
      <c r="I66" s="4" t="str">
        <f t="shared" si="6"/>
        <v>KPNBC IS 300</v>
      </c>
      <c r="J66" s="4" t="str">
        <f t="shared" si="7"/>
        <v>TZBC IS 300</v>
      </c>
    </row>
    <row r="67" spans="2:10">
      <c r="B67" s="4" t="str">
        <f t="shared" si="3"/>
        <v>BC IS 600 per Contract</v>
      </c>
      <c r="C67" s="12" t="s">
        <v>699</v>
      </c>
      <c r="E67" s="117" t="s">
        <v>603</v>
      </c>
      <c r="F67" s="117" t="s">
        <v>603</v>
      </c>
      <c r="G67" s="110"/>
      <c r="H67" s="110"/>
      <c r="I67" s="4" t="str">
        <f t="shared" si="6"/>
        <v>KPNBC IS 600 per Contract</v>
      </c>
      <c r="J67" s="4" t="str">
        <f t="shared" si="7"/>
        <v>TZBC IS 600 per Contract</v>
      </c>
    </row>
    <row r="68" spans="2:10">
      <c r="B68" s="4" t="str">
        <f t="shared" si="3"/>
        <v>BC IS 600 per Vestiging</v>
      </c>
      <c r="C68" s="12" t="s">
        <v>700</v>
      </c>
      <c r="E68" s="117" t="s">
        <v>603</v>
      </c>
      <c r="F68" s="117" t="s">
        <v>603</v>
      </c>
      <c r="G68" s="110"/>
      <c r="H68" s="110"/>
      <c r="I68" s="4" t="str">
        <f t="shared" si="6"/>
        <v>KPNBC IS 600 per Vestiging</v>
      </c>
      <c r="J68" s="4" t="str">
        <f t="shared" si="7"/>
        <v>TZBC IS 600 per Vestiging</v>
      </c>
    </row>
    <row r="69" spans="2:10">
      <c r="B69" s="4" t="str">
        <f t="shared" si="3"/>
        <v>BC IS 900 per Contract</v>
      </c>
      <c r="C69" s="12" t="s">
        <v>701</v>
      </c>
      <c r="E69" s="117" t="s">
        <v>603</v>
      </c>
      <c r="F69" s="117" t="s">
        <v>603</v>
      </c>
      <c r="G69" s="110"/>
      <c r="H69" s="110"/>
      <c r="I69" s="4" t="str">
        <f t="shared" si="6"/>
        <v>KPNBC IS 900 per Contract</v>
      </c>
      <c r="J69" s="4" t="str">
        <f t="shared" si="7"/>
        <v>TZBC IS 900 per Contract</v>
      </c>
    </row>
    <row r="70" spans="2:10">
      <c r="B70" s="4" t="str">
        <f t="shared" si="3"/>
        <v>BC IS 900 per Vestiging</v>
      </c>
      <c r="C70" s="12" t="s">
        <v>702</v>
      </c>
      <c r="E70" s="117" t="s">
        <v>603</v>
      </c>
      <c r="F70" s="117" t="s">
        <v>603</v>
      </c>
      <c r="G70" s="110"/>
      <c r="H70" s="110"/>
      <c r="I70" s="4" t="str">
        <f t="shared" si="6"/>
        <v>KPNBC IS 900 per Vestiging</v>
      </c>
      <c r="J70" s="4" t="str">
        <f t="shared" si="7"/>
        <v>TZBC IS 900 per Vestiging</v>
      </c>
    </row>
    <row r="71" spans="2:10">
      <c r="B71" s="4" t="str">
        <f t="shared" si="3"/>
        <v>BC IS 900XL per Contract</v>
      </c>
      <c r="C71" s="12" t="s">
        <v>703</v>
      </c>
      <c r="E71" s="117" t="s">
        <v>603</v>
      </c>
      <c r="F71" s="117" t="s">
        <v>603</v>
      </c>
      <c r="G71" s="110"/>
      <c r="H71" s="110"/>
      <c r="I71" s="4" t="str">
        <f t="shared" si="6"/>
        <v>KPNBC IS 900XL per Contract</v>
      </c>
      <c r="J71" s="4" t="str">
        <f t="shared" si="7"/>
        <v>TZBC IS 900XL per Contract</v>
      </c>
    </row>
    <row r="72" spans="2:10">
      <c r="B72" s="4" t="str">
        <f t="shared" si="3"/>
        <v>BC IS 900XL per Vestiging</v>
      </c>
      <c r="C72" s="12" t="s">
        <v>704</v>
      </c>
      <c r="E72" s="117" t="s">
        <v>603</v>
      </c>
      <c r="F72" s="117" t="s">
        <v>603</v>
      </c>
      <c r="G72" s="110"/>
      <c r="H72" s="110"/>
      <c r="I72" s="4" t="str">
        <f t="shared" si="6"/>
        <v>KPNBC IS 900XL per Vestiging</v>
      </c>
      <c r="J72" s="4" t="str">
        <f t="shared" si="7"/>
        <v>TZBC IS 900XL per Vestiging</v>
      </c>
    </row>
    <row r="73" spans="2:10">
      <c r="B73" s="4" t="str">
        <f t="shared" si="3"/>
        <v>Extra ISDN nr (MSN) 1 tm 3</v>
      </c>
      <c r="C73" s="12" t="s">
        <v>705</v>
      </c>
      <c r="E73" s="117" t="s">
        <v>603</v>
      </c>
      <c r="F73" s="117" t="s">
        <v>603</v>
      </c>
      <c r="G73" s="110"/>
      <c r="H73" s="110"/>
      <c r="I73" s="4" t="str">
        <f>"KPN"&amp;C73</f>
        <v>KPNExtra ISDN nr (MSN) 1 tm 3</v>
      </c>
      <c r="J73" s="4" t="str">
        <f>"TZ"&amp;C73</f>
        <v>TZExtra ISDN nr (MSN) 1 tm 3</v>
      </c>
    </row>
    <row r="74" spans="2:10">
      <c r="B74" s="4" t="str">
        <f t="shared" si="3"/>
        <v>Extra ISDN nr (MSN) 4 tm 7</v>
      </c>
      <c r="C74" s="12" t="s">
        <v>706</v>
      </c>
      <c r="E74" s="117" t="s">
        <v>603</v>
      </c>
      <c r="F74" s="117" t="s">
        <v>603</v>
      </c>
      <c r="G74" s="110"/>
      <c r="H74" s="110"/>
      <c r="I74" s="4" t="str">
        <f>"KPN"&amp;C74</f>
        <v>KPNExtra ISDN nr (MSN) 4 tm 7</v>
      </c>
      <c r="J74" s="4" t="str">
        <f>"TZ"&amp;C74</f>
        <v>TZExtra ISDN nr (MSN) 4 tm 7</v>
      </c>
    </row>
    <row r="75" spans="2:10">
      <c r="B75" s="4" t="str">
        <f t="shared" si="3"/>
        <v>Extra groeps-/ev nr (MROP) 1</v>
      </c>
      <c r="C75" s="12" t="s">
        <v>707</v>
      </c>
      <c r="E75" s="117" t="s">
        <v>603</v>
      </c>
      <c r="F75" s="117" t="s">
        <v>603</v>
      </c>
      <c r="G75" s="110"/>
      <c r="H75" s="110"/>
      <c r="I75" s="4" t="str">
        <f>"KPN"&amp;C75</f>
        <v>KPNExtra groeps-/ev nr (MROP) 1</v>
      </c>
      <c r="J75" s="4" t="str">
        <f>"TZ"&amp;C75</f>
        <v>TZExtra groeps-/ev nr (MROP) 1</v>
      </c>
    </row>
    <row r="76" spans="2:10">
      <c r="B76" s="4" t="str">
        <f t="shared" si="3"/>
        <v>Extra groeps-/ev nr (MROP) 2 tm 15</v>
      </c>
      <c r="C76" s="12" t="s">
        <v>708</v>
      </c>
      <c r="E76" s="117" t="s">
        <v>579</v>
      </c>
      <c r="F76" s="117" t="s">
        <v>579</v>
      </c>
      <c r="G76" s="110"/>
      <c r="H76" s="110"/>
      <c r="I76" s="4" t="str">
        <f>"KPN"&amp;C76</f>
        <v>KPNExtra groeps-/ev nr (MROP) 2 tm 15</v>
      </c>
      <c r="J76" s="4" t="str">
        <f>"TZ"&amp;C76</f>
        <v>TZExtra groeps-/ev nr (MROP) 2 tm 15</v>
      </c>
    </row>
    <row r="77" spans="2:10">
      <c r="B77" s="4" t="str">
        <f t="shared" si="3"/>
        <v>Extra groeps-/ev nr (MROP) 16 en meer</v>
      </c>
      <c r="C77" s="12" t="s">
        <v>709</v>
      </c>
      <c r="E77" s="117" t="s">
        <v>713</v>
      </c>
      <c r="F77" s="117" t="s">
        <v>713</v>
      </c>
      <c r="G77" s="110"/>
      <c r="H77" s="110"/>
      <c r="I77" s="4" t="str">
        <f>"KPN"&amp;C77</f>
        <v>KPNExtra groeps-/ev nr (MROP) 16 en meer</v>
      </c>
      <c r="J77" s="4" t="str">
        <f>"TZ"&amp;C77</f>
        <v>TZExtra groeps-/ev nr (MROP) 16 en meer</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2">
    <pageSetUpPr fitToPage="1"/>
  </sheetPr>
  <dimension ref="A1:N319"/>
  <sheetViews>
    <sheetView workbookViewId="0"/>
  </sheetViews>
  <sheetFormatPr defaultRowHeight="11.4"/>
  <cols>
    <col min="1" max="1" width="74.88671875" style="336" bestFit="1" customWidth="1"/>
    <col min="2" max="2" width="10.33203125" style="335" customWidth="1"/>
    <col min="3" max="3" width="55.88671875" style="335" customWidth="1"/>
    <col min="4" max="4" width="12" style="335" customWidth="1"/>
    <col min="5" max="5" width="45.88671875" style="335" customWidth="1"/>
    <col min="6" max="6" width="21.109375" style="335" customWidth="1"/>
    <col min="7" max="7" width="16.109375" style="335" hidden="1" customWidth="1"/>
    <col min="8" max="8" width="15.5546875" style="335" hidden="1" customWidth="1"/>
    <col min="9" max="10" width="14.33203125" style="356" customWidth="1"/>
    <col min="11" max="11" width="4.6640625" style="336" customWidth="1"/>
    <col min="12" max="257" width="9.109375" style="336"/>
    <col min="258" max="258" width="10.33203125" style="336" customWidth="1"/>
    <col min="259" max="259" width="55.88671875" style="336" customWidth="1"/>
    <col min="260" max="260" width="12" style="336" customWidth="1"/>
    <col min="261" max="261" width="45.88671875" style="336" customWidth="1"/>
    <col min="262" max="262" width="21.109375" style="336" customWidth="1"/>
    <col min="263" max="264" width="0" style="336" hidden="1" customWidth="1"/>
    <col min="265" max="266" width="14.33203125" style="336" customWidth="1"/>
    <col min="267" max="267" width="4.6640625" style="336" customWidth="1"/>
    <col min="268" max="513" width="9.109375" style="336"/>
    <col min="514" max="514" width="10.33203125" style="336" customWidth="1"/>
    <col min="515" max="515" width="55.88671875" style="336" customWidth="1"/>
    <col min="516" max="516" width="12" style="336" customWidth="1"/>
    <col min="517" max="517" width="45.88671875" style="336" customWidth="1"/>
    <col min="518" max="518" width="21.109375" style="336" customWidth="1"/>
    <col min="519" max="520" width="0" style="336" hidden="1" customWidth="1"/>
    <col min="521" max="522" width="14.33203125" style="336" customWidth="1"/>
    <col min="523" max="523" width="4.6640625" style="336" customWidth="1"/>
    <col min="524" max="769" width="9.109375" style="336"/>
    <col min="770" max="770" width="10.33203125" style="336" customWidth="1"/>
    <col min="771" max="771" width="55.88671875" style="336" customWidth="1"/>
    <col min="772" max="772" width="12" style="336" customWidth="1"/>
    <col min="773" max="773" width="45.88671875" style="336" customWidth="1"/>
    <col min="774" max="774" width="21.109375" style="336" customWidth="1"/>
    <col min="775" max="776" width="0" style="336" hidden="1" customWidth="1"/>
    <col min="777" max="778" width="14.33203125" style="336" customWidth="1"/>
    <col min="779" max="779" width="4.6640625" style="336" customWidth="1"/>
    <col min="780" max="1025" width="9.109375" style="336"/>
    <col min="1026" max="1026" width="10.33203125" style="336" customWidth="1"/>
    <col min="1027" max="1027" width="55.88671875" style="336" customWidth="1"/>
    <col min="1028" max="1028" width="12" style="336" customWidth="1"/>
    <col min="1029" max="1029" width="45.88671875" style="336" customWidth="1"/>
    <col min="1030" max="1030" width="21.109375" style="336" customWidth="1"/>
    <col min="1031" max="1032" width="0" style="336" hidden="1" customWidth="1"/>
    <col min="1033" max="1034" width="14.33203125" style="336" customWidth="1"/>
    <col min="1035" max="1035" width="4.6640625" style="336" customWidth="1"/>
    <col min="1036" max="1281" width="9.109375" style="336"/>
    <col min="1282" max="1282" width="10.33203125" style="336" customWidth="1"/>
    <col min="1283" max="1283" width="55.88671875" style="336" customWidth="1"/>
    <col min="1284" max="1284" width="12" style="336" customWidth="1"/>
    <col min="1285" max="1285" width="45.88671875" style="336" customWidth="1"/>
    <col min="1286" max="1286" width="21.109375" style="336" customWidth="1"/>
    <col min="1287" max="1288" width="0" style="336" hidden="1" customWidth="1"/>
    <col min="1289" max="1290" width="14.33203125" style="336" customWidth="1"/>
    <col min="1291" max="1291" width="4.6640625" style="336" customWidth="1"/>
    <col min="1292" max="1537" width="9.109375" style="336"/>
    <col min="1538" max="1538" width="10.33203125" style="336" customWidth="1"/>
    <col min="1539" max="1539" width="55.88671875" style="336" customWidth="1"/>
    <col min="1540" max="1540" width="12" style="336" customWidth="1"/>
    <col min="1541" max="1541" width="45.88671875" style="336" customWidth="1"/>
    <col min="1542" max="1542" width="21.109375" style="336" customWidth="1"/>
    <col min="1543" max="1544" width="0" style="336" hidden="1" customWidth="1"/>
    <col min="1545" max="1546" width="14.33203125" style="336" customWidth="1"/>
    <col min="1547" max="1547" width="4.6640625" style="336" customWidth="1"/>
    <col min="1548" max="1793" width="9.109375" style="336"/>
    <col min="1794" max="1794" width="10.33203125" style="336" customWidth="1"/>
    <col min="1795" max="1795" width="55.88671875" style="336" customWidth="1"/>
    <col min="1796" max="1796" width="12" style="336" customWidth="1"/>
    <col min="1797" max="1797" width="45.88671875" style="336" customWidth="1"/>
    <col min="1798" max="1798" width="21.109375" style="336" customWidth="1"/>
    <col min="1799" max="1800" width="0" style="336" hidden="1" customWidth="1"/>
    <col min="1801" max="1802" width="14.33203125" style="336" customWidth="1"/>
    <col min="1803" max="1803" width="4.6640625" style="336" customWidth="1"/>
    <col min="1804" max="2049" width="9.109375" style="336"/>
    <col min="2050" max="2050" width="10.33203125" style="336" customWidth="1"/>
    <col min="2051" max="2051" width="55.88671875" style="336" customWidth="1"/>
    <col min="2052" max="2052" width="12" style="336" customWidth="1"/>
    <col min="2053" max="2053" width="45.88671875" style="336" customWidth="1"/>
    <col min="2054" max="2054" width="21.109375" style="336" customWidth="1"/>
    <col min="2055" max="2056" width="0" style="336" hidden="1" customWidth="1"/>
    <col min="2057" max="2058" width="14.33203125" style="336" customWidth="1"/>
    <col min="2059" max="2059" width="4.6640625" style="336" customWidth="1"/>
    <col min="2060" max="2305" width="9.109375" style="336"/>
    <col min="2306" max="2306" width="10.33203125" style="336" customWidth="1"/>
    <col min="2307" max="2307" width="55.88671875" style="336" customWidth="1"/>
    <col min="2308" max="2308" width="12" style="336" customWidth="1"/>
    <col min="2309" max="2309" width="45.88671875" style="336" customWidth="1"/>
    <col min="2310" max="2310" width="21.109375" style="336" customWidth="1"/>
    <col min="2311" max="2312" width="0" style="336" hidden="1" customWidth="1"/>
    <col min="2313" max="2314" width="14.33203125" style="336" customWidth="1"/>
    <col min="2315" max="2315" width="4.6640625" style="336" customWidth="1"/>
    <col min="2316" max="2561" width="9.109375" style="336"/>
    <col min="2562" max="2562" width="10.33203125" style="336" customWidth="1"/>
    <col min="2563" max="2563" width="55.88671875" style="336" customWidth="1"/>
    <col min="2564" max="2564" width="12" style="336" customWidth="1"/>
    <col min="2565" max="2565" width="45.88671875" style="336" customWidth="1"/>
    <col min="2566" max="2566" width="21.109375" style="336" customWidth="1"/>
    <col min="2567" max="2568" width="0" style="336" hidden="1" customWidth="1"/>
    <col min="2569" max="2570" width="14.33203125" style="336" customWidth="1"/>
    <col min="2571" max="2571" width="4.6640625" style="336" customWidth="1"/>
    <col min="2572" max="2817" width="9.109375" style="336"/>
    <col min="2818" max="2818" width="10.33203125" style="336" customWidth="1"/>
    <col min="2819" max="2819" width="55.88671875" style="336" customWidth="1"/>
    <col min="2820" max="2820" width="12" style="336" customWidth="1"/>
    <col min="2821" max="2821" width="45.88671875" style="336" customWidth="1"/>
    <col min="2822" max="2822" width="21.109375" style="336" customWidth="1"/>
    <col min="2823" max="2824" width="0" style="336" hidden="1" customWidth="1"/>
    <col min="2825" max="2826" width="14.33203125" style="336" customWidth="1"/>
    <col min="2827" max="2827" width="4.6640625" style="336" customWidth="1"/>
    <col min="2828" max="3073" width="9.109375" style="336"/>
    <col min="3074" max="3074" width="10.33203125" style="336" customWidth="1"/>
    <col min="3075" max="3075" width="55.88671875" style="336" customWidth="1"/>
    <col min="3076" max="3076" width="12" style="336" customWidth="1"/>
    <col min="3077" max="3077" width="45.88671875" style="336" customWidth="1"/>
    <col min="3078" max="3078" width="21.109375" style="336" customWidth="1"/>
    <col min="3079" max="3080" width="0" style="336" hidden="1" customWidth="1"/>
    <col min="3081" max="3082" width="14.33203125" style="336" customWidth="1"/>
    <col min="3083" max="3083" width="4.6640625" style="336" customWidth="1"/>
    <col min="3084" max="3329" width="9.109375" style="336"/>
    <col min="3330" max="3330" width="10.33203125" style="336" customWidth="1"/>
    <col min="3331" max="3331" width="55.88671875" style="336" customWidth="1"/>
    <col min="3332" max="3332" width="12" style="336" customWidth="1"/>
    <col min="3333" max="3333" width="45.88671875" style="336" customWidth="1"/>
    <col min="3334" max="3334" width="21.109375" style="336" customWidth="1"/>
    <col min="3335" max="3336" width="0" style="336" hidden="1" customWidth="1"/>
    <col min="3337" max="3338" width="14.33203125" style="336" customWidth="1"/>
    <col min="3339" max="3339" width="4.6640625" style="336" customWidth="1"/>
    <col min="3340" max="3585" width="9.109375" style="336"/>
    <col min="3586" max="3586" width="10.33203125" style="336" customWidth="1"/>
    <col min="3587" max="3587" width="55.88671875" style="336" customWidth="1"/>
    <col min="3588" max="3588" width="12" style="336" customWidth="1"/>
    <col min="3589" max="3589" width="45.88671875" style="336" customWidth="1"/>
    <col min="3590" max="3590" width="21.109375" style="336" customWidth="1"/>
    <col min="3591" max="3592" width="0" style="336" hidden="1" customWidth="1"/>
    <col min="3593" max="3594" width="14.33203125" style="336" customWidth="1"/>
    <col min="3595" max="3595" width="4.6640625" style="336" customWidth="1"/>
    <col min="3596" max="3841" width="9.109375" style="336"/>
    <col min="3842" max="3842" width="10.33203125" style="336" customWidth="1"/>
    <col min="3843" max="3843" width="55.88671875" style="336" customWidth="1"/>
    <col min="3844" max="3844" width="12" style="336" customWidth="1"/>
    <col min="3845" max="3845" width="45.88671875" style="336" customWidth="1"/>
    <col min="3846" max="3846" width="21.109375" style="336" customWidth="1"/>
    <col min="3847" max="3848" width="0" style="336" hidden="1" customWidth="1"/>
    <col min="3849" max="3850" width="14.33203125" style="336" customWidth="1"/>
    <col min="3851" max="3851" width="4.6640625" style="336" customWidth="1"/>
    <col min="3852" max="4097" width="9.109375" style="336"/>
    <col min="4098" max="4098" width="10.33203125" style="336" customWidth="1"/>
    <col min="4099" max="4099" width="55.88671875" style="336" customWidth="1"/>
    <col min="4100" max="4100" width="12" style="336" customWidth="1"/>
    <col min="4101" max="4101" width="45.88671875" style="336" customWidth="1"/>
    <col min="4102" max="4102" width="21.109375" style="336" customWidth="1"/>
    <col min="4103" max="4104" width="0" style="336" hidden="1" customWidth="1"/>
    <col min="4105" max="4106" width="14.33203125" style="336" customWidth="1"/>
    <col min="4107" max="4107" width="4.6640625" style="336" customWidth="1"/>
    <col min="4108" max="4353" width="9.109375" style="336"/>
    <col min="4354" max="4354" width="10.33203125" style="336" customWidth="1"/>
    <col min="4355" max="4355" width="55.88671875" style="336" customWidth="1"/>
    <col min="4356" max="4356" width="12" style="336" customWidth="1"/>
    <col min="4357" max="4357" width="45.88671875" style="336" customWidth="1"/>
    <col min="4358" max="4358" width="21.109375" style="336" customWidth="1"/>
    <col min="4359" max="4360" width="0" style="336" hidden="1" customWidth="1"/>
    <col min="4361" max="4362" width="14.33203125" style="336" customWidth="1"/>
    <col min="4363" max="4363" width="4.6640625" style="336" customWidth="1"/>
    <col min="4364" max="4609" width="9.109375" style="336"/>
    <col min="4610" max="4610" width="10.33203125" style="336" customWidth="1"/>
    <col min="4611" max="4611" width="55.88671875" style="336" customWidth="1"/>
    <col min="4612" max="4612" width="12" style="336" customWidth="1"/>
    <col min="4613" max="4613" width="45.88671875" style="336" customWidth="1"/>
    <col min="4614" max="4614" width="21.109375" style="336" customWidth="1"/>
    <col min="4615" max="4616" width="0" style="336" hidden="1" customWidth="1"/>
    <col min="4617" max="4618" width="14.33203125" style="336" customWidth="1"/>
    <col min="4619" max="4619" width="4.6640625" style="336" customWidth="1"/>
    <col min="4620" max="4865" width="9.109375" style="336"/>
    <col min="4866" max="4866" width="10.33203125" style="336" customWidth="1"/>
    <col min="4867" max="4867" width="55.88671875" style="336" customWidth="1"/>
    <col min="4868" max="4868" width="12" style="336" customWidth="1"/>
    <col min="4869" max="4869" width="45.88671875" style="336" customWidth="1"/>
    <col min="4870" max="4870" width="21.109375" style="336" customWidth="1"/>
    <col min="4871" max="4872" width="0" style="336" hidden="1" customWidth="1"/>
    <col min="4873" max="4874" width="14.33203125" style="336" customWidth="1"/>
    <col min="4875" max="4875" width="4.6640625" style="336" customWidth="1"/>
    <col min="4876" max="5121" width="9.109375" style="336"/>
    <col min="5122" max="5122" width="10.33203125" style="336" customWidth="1"/>
    <col min="5123" max="5123" width="55.88671875" style="336" customWidth="1"/>
    <col min="5124" max="5124" width="12" style="336" customWidth="1"/>
    <col min="5125" max="5125" width="45.88671875" style="336" customWidth="1"/>
    <col min="5126" max="5126" width="21.109375" style="336" customWidth="1"/>
    <col min="5127" max="5128" width="0" style="336" hidden="1" customWidth="1"/>
    <col min="5129" max="5130" width="14.33203125" style="336" customWidth="1"/>
    <col min="5131" max="5131" width="4.6640625" style="336" customWidth="1"/>
    <col min="5132" max="5377" width="9.109375" style="336"/>
    <col min="5378" max="5378" width="10.33203125" style="336" customWidth="1"/>
    <col min="5379" max="5379" width="55.88671875" style="336" customWidth="1"/>
    <col min="5380" max="5380" width="12" style="336" customWidth="1"/>
    <col min="5381" max="5381" width="45.88671875" style="336" customWidth="1"/>
    <col min="5382" max="5382" width="21.109375" style="336" customWidth="1"/>
    <col min="5383" max="5384" width="0" style="336" hidden="1" customWidth="1"/>
    <col min="5385" max="5386" width="14.33203125" style="336" customWidth="1"/>
    <col min="5387" max="5387" width="4.6640625" style="336" customWidth="1"/>
    <col min="5388" max="5633" width="9.109375" style="336"/>
    <col min="5634" max="5634" width="10.33203125" style="336" customWidth="1"/>
    <col min="5635" max="5635" width="55.88671875" style="336" customWidth="1"/>
    <col min="5636" max="5636" width="12" style="336" customWidth="1"/>
    <col min="5637" max="5637" width="45.88671875" style="336" customWidth="1"/>
    <col min="5638" max="5638" width="21.109375" style="336" customWidth="1"/>
    <col min="5639" max="5640" width="0" style="336" hidden="1" customWidth="1"/>
    <col min="5641" max="5642" width="14.33203125" style="336" customWidth="1"/>
    <col min="5643" max="5643" width="4.6640625" style="336" customWidth="1"/>
    <col min="5644" max="5889" width="9.109375" style="336"/>
    <col min="5890" max="5890" width="10.33203125" style="336" customWidth="1"/>
    <col min="5891" max="5891" width="55.88671875" style="336" customWidth="1"/>
    <col min="5892" max="5892" width="12" style="336" customWidth="1"/>
    <col min="5893" max="5893" width="45.88671875" style="336" customWidth="1"/>
    <col min="5894" max="5894" width="21.109375" style="336" customWidth="1"/>
    <col min="5895" max="5896" width="0" style="336" hidden="1" customWidth="1"/>
    <col min="5897" max="5898" width="14.33203125" style="336" customWidth="1"/>
    <col min="5899" max="5899" width="4.6640625" style="336" customWidth="1"/>
    <col min="5900" max="6145" width="9.109375" style="336"/>
    <col min="6146" max="6146" width="10.33203125" style="336" customWidth="1"/>
    <col min="6147" max="6147" width="55.88671875" style="336" customWidth="1"/>
    <col min="6148" max="6148" width="12" style="336" customWidth="1"/>
    <col min="6149" max="6149" width="45.88671875" style="336" customWidth="1"/>
    <col min="6150" max="6150" width="21.109375" style="336" customWidth="1"/>
    <col min="6151" max="6152" width="0" style="336" hidden="1" customWidth="1"/>
    <col min="6153" max="6154" width="14.33203125" style="336" customWidth="1"/>
    <col min="6155" max="6155" width="4.6640625" style="336" customWidth="1"/>
    <col min="6156" max="6401" width="9.109375" style="336"/>
    <col min="6402" max="6402" width="10.33203125" style="336" customWidth="1"/>
    <col min="6403" max="6403" width="55.88671875" style="336" customWidth="1"/>
    <col min="6404" max="6404" width="12" style="336" customWidth="1"/>
    <col min="6405" max="6405" width="45.88671875" style="336" customWidth="1"/>
    <col min="6406" max="6406" width="21.109375" style="336" customWidth="1"/>
    <col min="6407" max="6408" width="0" style="336" hidden="1" customWidth="1"/>
    <col min="6409" max="6410" width="14.33203125" style="336" customWidth="1"/>
    <col min="6411" max="6411" width="4.6640625" style="336" customWidth="1"/>
    <col min="6412" max="6657" width="9.109375" style="336"/>
    <col min="6658" max="6658" width="10.33203125" style="336" customWidth="1"/>
    <col min="6659" max="6659" width="55.88671875" style="336" customWidth="1"/>
    <col min="6660" max="6660" width="12" style="336" customWidth="1"/>
    <col min="6661" max="6661" width="45.88671875" style="336" customWidth="1"/>
    <col min="6662" max="6662" width="21.109375" style="336" customWidth="1"/>
    <col min="6663" max="6664" width="0" style="336" hidden="1" customWidth="1"/>
    <col min="6665" max="6666" width="14.33203125" style="336" customWidth="1"/>
    <col min="6667" max="6667" width="4.6640625" style="336" customWidth="1"/>
    <col min="6668" max="6913" width="9.109375" style="336"/>
    <col min="6914" max="6914" width="10.33203125" style="336" customWidth="1"/>
    <col min="6915" max="6915" width="55.88671875" style="336" customWidth="1"/>
    <col min="6916" max="6916" width="12" style="336" customWidth="1"/>
    <col min="6917" max="6917" width="45.88671875" style="336" customWidth="1"/>
    <col min="6918" max="6918" width="21.109375" style="336" customWidth="1"/>
    <col min="6919" max="6920" width="0" style="336" hidden="1" customWidth="1"/>
    <col min="6921" max="6922" width="14.33203125" style="336" customWidth="1"/>
    <col min="6923" max="6923" width="4.6640625" style="336" customWidth="1"/>
    <col min="6924" max="7169" width="9.109375" style="336"/>
    <col min="7170" max="7170" width="10.33203125" style="336" customWidth="1"/>
    <col min="7171" max="7171" width="55.88671875" style="336" customWidth="1"/>
    <col min="7172" max="7172" width="12" style="336" customWidth="1"/>
    <col min="7173" max="7173" width="45.88671875" style="336" customWidth="1"/>
    <col min="7174" max="7174" width="21.109375" style="336" customWidth="1"/>
    <col min="7175" max="7176" width="0" style="336" hidden="1" customWidth="1"/>
    <col min="7177" max="7178" width="14.33203125" style="336" customWidth="1"/>
    <col min="7179" max="7179" width="4.6640625" style="336" customWidth="1"/>
    <col min="7180" max="7425" width="9.109375" style="336"/>
    <col min="7426" max="7426" width="10.33203125" style="336" customWidth="1"/>
    <col min="7427" max="7427" width="55.88671875" style="336" customWidth="1"/>
    <col min="7428" max="7428" width="12" style="336" customWidth="1"/>
    <col min="7429" max="7429" width="45.88671875" style="336" customWidth="1"/>
    <col min="7430" max="7430" width="21.109375" style="336" customWidth="1"/>
    <col min="7431" max="7432" width="0" style="336" hidden="1" customWidth="1"/>
    <col min="7433" max="7434" width="14.33203125" style="336" customWidth="1"/>
    <col min="7435" max="7435" width="4.6640625" style="336" customWidth="1"/>
    <col min="7436" max="7681" width="9.109375" style="336"/>
    <col min="7682" max="7682" width="10.33203125" style="336" customWidth="1"/>
    <col min="7683" max="7683" width="55.88671875" style="336" customWidth="1"/>
    <col min="7684" max="7684" width="12" style="336" customWidth="1"/>
    <col min="7685" max="7685" width="45.88671875" style="336" customWidth="1"/>
    <col min="7686" max="7686" width="21.109375" style="336" customWidth="1"/>
    <col min="7687" max="7688" width="0" style="336" hidden="1" customWidth="1"/>
    <col min="7689" max="7690" width="14.33203125" style="336" customWidth="1"/>
    <col min="7691" max="7691" width="4.6640625" style="336" customWidth="1"/>
    <col min="7692" max="7937" width="9.109375" style="336"/>
    <col min="7938" max="7938" width="10.33203125" style="336" customWidth="1"/>
    <col min="7939" max="7939" width="55.88671875" style="336" customWidth="1"/>
    <col min="7940" max="7940" width="12" style="336" customWidth="1"/>
    <col min="7941" max="7941" width="45.88671875" style="336" customWidth="1"/>
    <col min="7942" max="7942" width="21.109375" style="336" customWidth="1"/>
    <col min="7943" max="7944" width="0" style="336" hidden="1" customWidth="1"/>
    <col min="7945" max="7946" width="14.33203125" style="336" customWidth="1"/>
    <col min="7947" max="7947" width="4.6640625" style="336" customWidth="1"/>
    <col min="7948" max="8193" width="9.109375" style="336"/>
    <col min="8194" max="8194" width="10.33203125" style="336" customWidth="1"/>
    <col min="8195" max="8195" width="55.88671875" style="336" customWidth="1"/>
    <col min="8196" max="8196" width="12" style="336" customWidth="1"/>
    <col min="8197" max="8197" width="45.88671875" style="336" customWidth="1"/>
    <col min="8198" max="8198" width="21.109375" style="336" customWidth="1"/>
    <col min="8199" max="8200" width="0" style="336" hidden="1" customWidth="1"/>
    <col min="8201" max="8202" width="14.33203125" style="336" customWidth="1"/>
    <col min="8203" max="8203" width="4.6640625" style="336" customWidth="1"/>
    <col min="8204" max="8449" width="9.109375" style="336"/>
    <col min="8450" max="8450" width="10.33203125" style="336" customWidth="1"/>
    <col min="8451" max="8451" width="55.88671875" style="336" customWidth="1"/>
    <col min="8452" max="8452" width="12" style="336" customWidth="1"/>
    <col min="8453" max="8453" width="45.88671875" style="336" customWidth="1"/>
    <col min="8454" max="8454" width="21.109375" style="336" customWidth="1"/>
    <col min="8455" max="8456" width="0" style="336" hidden="1" customWidth="1"/>
    <col min="8457" max="8458" width="14.33203125" style="336" customWidth="1"/>
    <col min="8459" max="8459" width="4.6640625" style="336" customWidth="1"/>
    <col min="8460" max="8705" width="9.109375" style="336"/>
    <col min="8706" max="8706" width="10.33203125" style="336" customWidth="1"/>
    <col min="8707" max="8707" width="55.88671875" style="336" customWidth="1"/>
    <col min="8708" max="8708" width="12" style="336" customWidth="1"/>
    <col min="8709" max="8709" width="45.88671875" style="336" customWidth="1"/>
    <col min="8710" max="8710" width="21.109375" style="336" customWidth="1"/>
    <col min="8711" max="8712" width="0" style="336" hidden="1" customWidth="1"/>
    <col min="8713" max="8714" width="14.33203125" style="336" customWidth="1"/>
    <col min="8715" max="8715" width="4.6640625" style="336" customWidth="1"/>
    <col min="8716" max="8961" width="9.109375" style="336"/>
    <col min="8962" max="8962" width="10.33203125" style="336" customWidth="1"/>
    <col min="8963" max="8963" width="55.88671875" style="336" customWidth="1"/>
    <col min="8964" max="8964" width="12" style="336" customWidth="1"/>
    <col min="8965" max="8965" width="45.88671875" style="336" customWidth="1"/>
    <col min="8966" max="8966" width="21.109375" style="336" customWidth="1"/>
    <col min="8967" max="8968" width="0" style="336" hidden="1" customWidth="1"/>
    <col min="8969" max="8970" width="14.33203125" style="336" customWidth="1"/>
    <col min="8971" max="8971" width="4.6640625" style="336" customWidth="1"/>
    <col min="8972" max="9217" width="9.109375" style="336"/>
    <col min="9218" max="9218" width="10.33203125" style="336" customWidth="1"/>
    <col min="9219" max="9219" width="55.88671875" style="336" customWidth="1"/>
    <col min="9220" max="9220" width="12" style="336" customWidth="1"/>
    <col min="9221" max="9221" width="45.88671875" style="336" customWidth="1"/>
    <col min="9222" max="9222" width="21.109375" style="336" customWidth="1"/>
    <col min="9223" max="9224" width="0" style="336" hidden="1" customWidth="1"/>
    <col min="9225" max="9226" width="14.33203125" style="336" customWidth="1"/>
    <col min="9227" max="9227" width="4.6640625" style="336" customWidth="1"/>
    <col min="9228" max="9473" width="9.109375" style="336"/>
    <col min="9474" max="9474" width="10.33203125" style="336" customWidth="1"/>
    <col min="9475" max="9475" width="55.88671875" style="336" customWidth="1"/>
    <col min="9476" max="9476" width="12" style="336" customWidth="1"/>
    <col min="9477" max="9477" width="45.88671875" style="336" customWidth="1"/>
    <col min="9478" max="9478" width="21.109375" style="336" customWidth="1"/>
    <col min="9479" max="9480" width="0" style="336" hidden="1" customWidth="1"/>
    <col min="9481" max="9482" width="14.33203125" style="336" customWidth="1"/>
    <col min="9483" max="9483" width="4.6640625" style="336" customWidth="1"/>
    <col min="9484" max="9729" width="9.109375" style="336"/>
    <col min="9730" max="9730" width="10.33203125" style="336" customWidth="1"/>
    <col min="9731" max="9731" width="55.88671875" style="336" customWidth="1"/>
    <col min="9732" max="9732" width="12" style="336" customWidth="1"/>
    <col min="9733" max="9733" width="45.88671875" style="336" customWidth="1"/>
    <col min="9734" max="9734" width="21.109375" style="336" customWidth="1"/>
    <col min="9735" max="9736" width="0" style="336" hidden="1" customWidth="1"/>
    <col min="9737" max="9738" width="14.33203125" style="336" customWidth="1"/>
    <col min="9739" max="9739" width="4.6640625" style="336" customWidth="1"/>
    <col min="9740" max="9985" width="9.109375" style="336"/>
    <col min="9986" max="9986" width="10.33203125" style="336" customWidth="1"/>
    <col min="9987" max="9987" width="55.88671875" style="336" customWidth="1"/>
    <col min="9988" max="9988" width="12" style="336" customWidth="1"/>
    <col min="9989" max="9989" width="45.88671875" style="336" customWidth="1"/>
    <col min="9990" max="9990" width="21.109375" style="336" customWidth="1"/>
    <col min="9991" max="9992" width="0" style="336" hidden="1" customWidth="1"/>
    <col min="9993" max="9994" width="14.33203125" style="336" customWidth="1"/>
    <col min="9995" max="9995" width="4.6640625" style="336" customWidth="1"/>
    <col min="9996" max="10241" width="9.109375" style="336"/>
    <col min="10242" max="10242" width="10.33203125" style="336" customWidth="1"/>
    <col min="10243" max="10243" width="55.88671875" style="336" customWidth="1"/>
    <col min="10244" max="10244" width="12" style="336" customWidth="1"/>
    <col min="10245" max="10245" width="45.88671875" style="336" customWidth="1"/>
    <col min="10246" max="10246" width="21.109375" style="336" customWidth="1"/>
    <col min="10247" max="10248" width="0" style="336" hidden="1" customWidth="1"/>
    <col min="10249" max="10250" width="14.33203125" style="336" customWidth="1"/>
    <col min="10251" max="10251" width="4.6640625" style="336" customWidth="1"/>
    <col min="10252" max="10497" width="9.109375" style="336"/>
    <col min="10498" max="10498" width="10.33203125" style="336" customWidth="1"/>
    <col min="10499" max="10499" width="55.88671875" style="336" customWidth="1"/>
    <col min="10500" max="10500" width="12" style="336" customWidth="1"/>
    <col min="10501" max="10501" width="45.88671875" style="336" customWidth="1"/>
    <col min="10502" max="10502" width="21.109375" style="336" customWidth="1"/>
    <col min="10503" max="10504" width="0" style="336" hidden="1" customWidth="1"/>
    <col min="10505" max="10506" width="14.33203125" style="336" customWidth="1"/>
    <col min="10507" max="10507" width="4.6640625" style="336" customWidth="1"/>
    <col min="10508" max="10753" width="9.109375" style="336"/>
    <col min="10754" max="10754" width="10.33203125" style="336" customWidth="1"/>
    <col min="10755" max="10755" width="55.88671875" style="336" customWidth="1"/>
    <col min="10756" max="10756" width="12" style="336" customWidth="1"/>
    <col min="10757" max="10757" width="45.88671875" style="336" customWidth="1"/>
    <col min="10758" max="10758" width="21.109375" style="336" customWidth="1"/>
    <col min="10759" max="10760" width="0" style="336" hidden="1" customWidth="1"/>
    <col min="10761" max="10762" width="14.33203125" style="336" customWidth="1"/>
    <col min="10763" max="10763" width="4.6640625" style="336" customWidth="1"/>
    <col min="10764" max="11009" width="9.109375" style="336"/>
    <col min="11010" max="11010" width="10.33203125" style="336" customWidth="1"/>
    <col min="11011" max="11011" width="55.88671875" style="336" customWidth="1"/>
    <col min="11012" max="11012" width="12" style="336" customWidth="1"/>
    <col min="11013" max="11013" width="45.88671875" style="336" customWidth="1"/>
    <col min="11014" max="11014" width="21.109375" style="336" customWidth="1"/>
    <col min="11015" max="11016" width="0" style="336" hidden="1" customWidth="1"/>
    <col min="11017" max="11018" width="14.33203125" style="336" customWidth="1"/>
    <col min="11019" max="11019" width="4.6640625" style="336" customWidth="1"/>
    <col min="11020" max="11265" width="9.109375" style="336"/>
    <col min="11266" max="11266" width="10.33203125" style="336" customWidth="1"/>
    <col min="11267" max="11267" width="55.88671875" style="336" customWidth="1"/>
    <col min="11268" max="11268" width="12" style="336" customWidth="1"/>
    <col min="11269" max="11269" width="45.88671875" style="336" customWidth="1"/>
    <col min="11270" max="11270" width="21.109375" style="336" customWidth="1"/>
    <col min="11271" max="11272" width="0" style="336" hidden="1" customWidth="1"/>
    <col min="11273" max="11274" width="14.33203125" style="336" customWidth="1"/>
    <col min="11275" max="11275" width="4.6640625" style="336" customWidth="1"/>
    <col min="11276" max="11521" width="9.109375" style="336"/>
    <col min="11522" max="11522" width="10.33203125" style="336" customWidth="1"/>
    <col min="11523" max="11523" width="55.88671875" style="336" customWidth="1"/>
    <col min="11524" max="11524" width="12" style="336" customWidth="1"/>
    <col min="11525" max="11525" width="45.88671875" style="336" customWidth="1"/>
    <col min="11526" max="11526" width="21.109375" style="336" customWidth="1"/>
    <col min="11527" max="11528" width="0" style="336" hidden="1" customWidth="1"/>
    <col min="11529" max="11530" width="14.33203125" style="336" customWidth="1"/>
    <col min="11531" max="11531" width="4.6640625" style="336" customWidth="1"/>
    <col min="11532" max="11777" width="9.109375" style="336"/>
    <col min="11778" max="11778" width="10.33203125" style="336" customWidth="1"/>
    <col min="11779" max="11779" width="55.88671875" style="336" customWidth="1"/>
    <col min="11780" max="11780" width="12" style="336" customWidth="1"/>
    <col min="11781" max="11781" width="45.88671875" style="336" customWidth="1"/>
    <col min="11782" max="11782" width="21.109375" style="336" customWidth="1"/>
    <col min="11783" max="11784" width="0" style="336" hidden="1" customWidth="1"/>
    <col min="11785" max="11786" width="14.33203125" style="336" customWidth="1"/>
    <col min="11787" max="11787" width="4.6640625" style="336" customWidth="1"/>
    <col min="11788" max="12033" width="9.109375" style="336"/>
    <col min="12034" max="12034" width="10.33203125" style="336" customWidth="1"/>
    <col min="12035" max="12035" width="55.88671875" style="336" customWidth="1"/>
    <col min="12036" max="12036" width="12" style="336" customWidth="1"/>
    <col min="12037" max="12037" width="45.88671875" style="336" customWidth="1"/>
    <col min="12038" max="12038" width="21.109375" style="336" customWidth="1"/>
    <col min="12039" max="12040" width="0" style="336" hidden="1" customWidth="1"/>
    <col min="12041" max="12042" width="14.33203125" style="336" customWidth="1"/>
    <col min="12043" max="12043" width="4.6640625" style="336" customWidth="1"/>
    <col min="12044" max="12289" width="9.109375" style="336"/>
    <col min="12290" max="12290" width="10.33203125" style="336" customWidth="1"/>
    <col min="12291" max="12291" width="55.88671875" style="336" customWidth="1"/>
    <col min="12292" max="12292" width="12" style="336" customWidth="1"/>
    <col min="12293" max="12293" width="45.88671875" style="336" customWidth="1"/>
    <col min="12294" max="12294" width="21.109375" style="336" customWidth="1"/>
    <col min="12295" max="12296" width="0" style="336" hidden="1" customWidth="1"/>
    <col min="12297" max="12298" width="14.33203125" style="336" customWidth="1"/>
    <col min="12299" max="12299" width="4.6640625" style="336" customWidth="1"/>
    <col min="12300" max="12545" width="9.109375" style="336"/>
    <col min="12546" max="12546" width="10.33203125" style="336" customWidth="1"/>
    <col min="12547" max="12547" width="55.88671875" style="336" customWidth="1"/>
    <col min="12548" max="12548" width="12" style="336" customWidth="1"/>
    <col min="12549" max="12549" width="45.88671875" style="336" customWidth="1"/>
    <col min="12550" max="12550" width="21.109375" style="336" customWidth="1"/>
    <col min="12551" max="12552" width="0" style="336" hidden="1" customWidth="1"/>
    <col min="12553" max="12554" width="14.33203125" style="336" customWidth="1"/>
    <col min="12555" max="12555" width="4.6640625" style="336" customWidth="1"/>
    <col min="12556" max="12801" width="9.109375" style="336"/>
    <col min="12802" max="12802" width="10.33203125" style="336" customWidth="1"/>
    <col min="12803" max="12803" width="55.88671875" style="336" customWidth="1"/>
    <col min="12804" max="12804" width="12" style="336" customWidth="1"/>
    <col min="12805" max="12805" width="45.88671875" style="336" customWidth="1"/>
    <col min="12806" max="12806" width="21.109375" style="336" customWidth="1"/>
    <col min="12807" max="12808" width="0" style="336" hidden="1" customWidth="1"/>
    <col min="12809" max="12810" width="14.33203125" style="336" customWidth="1"/>
    <col min="12811" max="12811" width="4.6640625" style="336" customWidth="1"/>
    <col min="12812" max="13057" width="9.109375" style="336"/>
    <col min="13058" max="13058" width="10.33203125" style="336" customWidth="1"/>
    <col min="13059" max="13059" width="55.88671875" style="336" customWidth="1"/>
    <col min="13060" max="13060" width="12" style="336" customWidth="1"/>
    <col min="13061" max="13061" width="45.88671875" style="336" customWidth="1"/>
    <col min="13062" max="13062" width="21.109375" style="336" customWidth="1"/>
    <col min="13063" max="13064" width="0" style="336" hidden="1" customWidth="1"/>
    <col min="13065" max="13066" width="14.33203125" style="336" customWidth="1"/>
    <col min="13067" max="13067" width="4.6640625" style="336" customWidth="1"/>
    <col min="13068" max="13313" width="9.109375" style="336"/>
    <col min="13314" max="13314" width="10.33203125" style="336" customWidth="1"/>
    <col min="13315" max="13315" width="55.88671875" style="336" customWidth="1"/>
    <col min="13316" max="13316" width="12" style="336" customWidth="1"/>
    <col min="13317" max="13317" width="45.88671875" style="336" customWidth="1"/>
    <col min="13318" max="13318" width="21.109375" style="336" customWidth="1"/>
    <col min="13319" max="13320" width="0" style="336" hidden="1" customWidth="1"/>
    <col min="13321" max="13322" width="14.33203125" style="336" customWidth="1"/>
    <col min="13323" max="13323" width="4.6640625" style="336" customWidth="1"/>
    <col min="13324" max="13569" width="9.109375" style="336"/>
    <col min="13570" max="13570" width="10.33203125" style="336" customWidth="1"/>
    <col min="13571" max="13571" width="55.88671875" style="336" customWidth="1"/>
    <col min="13572" max="13572" width="12" style="336" customWidth="1"/>
    <col min="13573" max="13573" width="45.88671875" style="336" customWidth="1"/>
    <col min="13574" max="13574" width="21.109375" style="336" customWidth="1"/>
    <col min="13575" max="13576" width="0" style="336" hidden="1" customWidth="1"/>
    <col min="13577" max="13578" width="14.33203125" style="336" customWidth="1"/>
    <col min="13579" max="13579" width="4.6640625" style="336" customWidth="1"/>
    <col min="13580" max="13825" width="9.109375" style="336"/>
    <col min="13826" max="13826" width="10.33203125" style="336" customWidth="1"/>
    <col min="13827" max="13827" width="55.88671875" style="336" customWidth="1"/>
    <col min="13828" max="13828" width="12" style="336" customWidth="1"/>
    <col min="13829" max="13829" width="45.88671875" style="336" customWidth="1"/>
    <col min="13830" max="13830" width="21.109375" style="336" customWidth="1"/>
    <col min="13831" max="13832" width="0" style="336" hidden="1" customWidth="1"/>
    <col min="13833" max="13834" width="14.33203125" style="336" customWidth="1"/>
    <col min="13835" max="13835" width="4.6640625" style="336" customWidth="1"/>
    <col min="13836" max="14081" width="9.109375" style="336"/>
    <col min="14082" max="14082" width="10.33203125" style="336" customWidth="1"/>
    <col min="14083" max="14083" width="55.88671875" style="336" customWidth="1"/>
    <col min="14084" max="14084" width="12" style="336" customWidth="1"/>
    <col min="14085" max="14085" width="45.88671875" style="336" customWidth="1"/>
    <col min="14086" max="14086" width="21.109375" style="336" customWidth="1"/>
    <col min="14087" max="14088" width="0" style="336" hidden="1" customWidth="1"/>
    <col min="14089" max="14090" width="14.33203125" style="336" customWidth="1"/>
    <col min="14091" max="14091" width="4.6640625" style="336" customWidth="1"/>
    <col min="14092" max="14337" width="9.109375" style="336"/>
    <col min="14338" max="14338" width="10.33203125" style="336" customWidth="1"/>
    <col min="14339" max="14339" width="55.88671875" style="336" customWidth="1"/>
    <col min="14340" max="14340" width="12" style="336" customWidth="1"/>
    <col min="14341" max="14341" width="45.88671875" style="336" customWidth="1"/>
    <col min="14342" max="14342" width="21.109375" style="336" customWidth="1"/>
    <col min="14343" max="14344" width="0" style="336" hidden="1" customWidth="1"/>
    <col min="14345" max="14346" width="14.33203125" style="336" customWidth="1"/>
    <col min="14347" max="14347" width="4.6640625" style="336" customWidth="1"/>
    <col min="14348" max="14593" width="9.109375" style="336"/>
    <col min="14594" max="14594" width="10.33203125" style="336" customWidth="1"/>
    <col min="14595" max="14595" width="55.88671875" style="336" customWidth="1"/>
    <col min="14596" max="14596" width="12" style="336" customWidth="1"/>
    <col min="14597" max="14597" width="45.88671875" style="336" customWidth="1"/>
    <col min="14598" max="14598" width="21.109375" style="336" customWidth="1"/>
    <col min="14599" max="14600" width="0" style="336" hidden="1" customWidth="1"/>
    <col min="14601" max="14602" width="14.33203125" style="336" customWidth="1"/>
    <col min="14603" max="14603" width="4.6640625" style="336" customWidth="1"/>
    <col min="14604" max="14849" width="9.109375" style="336"/>
    <col min="14850" max="14850" width="10.33203125" style="336" customWidth="1"/>
    <col min="14851" max="14851" width="55.88671875" style="336" customWidth="1"/>
    <col min="14852" max="14852" width="12" style="336" customWidth="1"/>
    <col min="14853" max="14853" width="45.88671875" style="336" customWidth="1"/>
    <col min="14854" max="14854" width="21.109375" style="336" customWidth="1"/>
    <col min="14855" max="14856" width="0" style="336" hidden="1" customWidth="1"/>
    <col min="14857" max="14858" width="14.33203125" style="336" customWidth="1"/>
    <col min="14859" max="14859" width="4.6640625" style="336" customWidth="1"/>
    <col min="14860" max="15105" width="9.109375" style="336"/>
    <col min="15106" max="15106" width="10.33203125" style="336" customWidth="1"/>
    <col min="15107" max="15107" width="55.88671875" style="336" customWidth="1"/>
    <col min="15108" max="15108" width="12" style="336" customWidth="1"/>
    <col min="15109" max="15109" width="45.88671875" style="336" customWidth="1"/>
    <col min="15110" max="15110" width="21.109375" style="336" customWidth="1"/>
    <col min="15111" max="15112" width="0" style="336" hidden="1" customWidth="1"/>
    <col min="15113" max="15114" width="14.33203125" style="336" customWidth="1"/>
    <col min="15115" max="15115" width="4.6640625" style="336" customWidth="1"/>
    <col min="15116" max="15361" width="9.109375" style="336"/>
    <col min="15362" max="15362" width="10.33203125" style="336" customWidth="1"/>
    <col min="15363" max="15363" width="55.88671875" style="336" customWidth="1"/>
    <col min="15364" max="15364" width="12" style="336" customWidth="1"/>
    <col min="15365" max="15365" width="45.88671875" style="336" customWidth="1"/>
    <col min="15366" max="15366" width="21.109375" style="336" customWidth="1"/>
    <col min="15367" max="15368" width="0" style="336" hidden="1" customWidth="1"/>
    <col min="15369" max="15370" width="14.33203125" style="336" customWidth="1"/>
    <col min="15371" max="15371" width="4.6640625" style="336" customWidth="1"/>
    <col min="15372" max="15617" width="9.109375" style="336"/>
    <col min="15618" max="15618" width="10.33203125" style="336" customWidth="1"/>
    <col min="15619" max="15619" width="55.88671875" style="336" customWidth="1"/>
    <col min="15620" max="15620" width="12" style="336" customWidth="1"/>
    <col min="15621" max="15621" width="45.88671875" style="336" customWidth="1"/>
    <col min="15622" max="15622" width="21.109375" style="336" customWidth="1"/>
    <col min="15623" max="15624" width="0" style="336" hidden="1" customWidth="1"/>
    <col min="15625" max="15626" width="14.33203125" style="336" customWidth="1"/>
    <col min="15627" max="15627" width="4.6640625" style="336" customWidth="1"/>
    <col min="15628" max="15873" width="9.109375" style="336"/>
    <col min="15874" max="15874" width="10.33203125" style="336" customWidth="1"/>
    <col min="15875" max="15875" width="55.88671875" style="336" customWidth="1"/>
    <col min="15876" max="15876" width="12" style="336" customWidth="1"/>
    <col min="15877" max="15877" width="45.88671875" style="336" customWidth="1"/>
    <col min="15878" max="15878" width="21.109375" style="336" customWidth="1"/>
    <col min="15879" max="15880" width="0" style="336" hidden="1" customWidth="1"/>
    <col min="15881" max="15882" width="14.33203125" style="336" customWidth="1"/>
    <col min="15883" max="15883" width="4.6640625" style="336" customWidth="1"/>
    <col min="15884" max="16129" width="9.109375" style="336"/>
    <col min="16130" max="16130" width="10.33203125" style="336" customWidth="1"/>
    <col min="16131" max="16131" width="55.88671875" style="336" customWidth="1"/>
    <col min="16132" max="16132" width="12" style="336" customWidth="1"/>
    <col min="16133" max="16133" width="45.88671875" style="336" customWidth="1"/>
    <col min="16134" max="16134" width="21.109375" style="336" customWidth="1"/>
    <col min="16135" max="16136" width="0" style="336" hidden="1" customWidth="1"/>
    <col min="16137" max="16138" width="14.33203125" style="336" customWidth="1"/>
    <col min="16139" max="16139" width="4.6640625" style="336" customWidth="1"/>
    <col min="16140" max="16384" width="9.109375" style="336"/>
  </cols>
  <sheetData>
    <row r="1" spans="1:14" ht="12">
      <c r="A1" s="334" t="s">
        <v>1286</v>
      </c>
    </row>
    <row r="2" spans="1:14" ht="12.6" thickBot="1">
      <c r="I2" s="397"/>
    </row>
    <row r="3" spans="1:14" ht="12.6" thickBot="1">
      <c r="B3" s="337"/>
      <c r="C3" s="338" t="s">
        <v>206</v>
      </c>
      <c r="D3" s="339"/>
      <c r="E3" s="339"/>
      <c r="F3" s="339"/>
      <c r="G3" s="339"/>
      <c r="H3" s="340"/>
      <c r="I3" s="999" t="s">
        <v>1287</v>
      </c>
      <c r="J3" s="1000"/>
    </row>
    <row r="4" spans="1:14" ht="12.6" thickBot="1">
      <c r="B4" s="341"/>
      <c r="C4" s="342" t="s">
        <v>207</v>
      </c>
      <c r="D4" s="343"/>
      <c r="E4" s="344"/>
      <c r="F4" s="344"/>
      <c r="G4" s="1049" t="s">
        <v>208</v>
      </c>
      <c r="H4" s="1050"/>
      <c r="I4" s="999" t="s">
        <v>209</v>
      </c>
      <c r="J4" s="1001"/>
    </row>
    <row r="5" spans="1:14" ht="12">
      <c r="A5" s="336" t="s">
        <v>424</v>
      </c>
      <c r="B5" s="345" t="s">
        <v>210</v>
      </c>
      <c r="C5" s="346" t="s">
        <v>211</v>
      </c>
      <c r="D5" s="347" t="s">
        <v>212</v>
      </c>
      <c r="E5" s="348" t="s">
        <v>213</v>
      </c>
      <c r="F5" s="349" t="s">
        <v>214</v>
      </c>
      <c r="G5" s="349" t="s">
        <v>127</v>
      </c>
      <c r="H5" s="349" t="s">
        <v>215</v>
      </c>
      <c r="I5" s="1002" t="s">
        <v>127</v>
      </c>
      <c r="J5" s="1003" t="s">
        <v>215</v>
      </c>
    </row>
    <row r="6" spans="1:14" ht="12">
      <c r="A6" s="336" t="s">
        <v>455</v>
      </c>
      <c r="B6" s="352"/>
      <c r="C6" s="353" t="s">
        <v>216</v>
      </c>
      <c r="D6" s="354" t="s">
        <v>217</v>
      </c>
      <c r="E6" s="355"/>
      <c r="F6" s="356" t="s">
        <v>218</v>
      </c>
      <c r="G6" s="357">
        <v>4.3899999999999997</v>
      </c>
      <c r="H6" s="357"/>
      <c r="I6" s="1004">
        <v>4.42</v>
      </c>
      <c r="J6" s="1005"/>
      <c r="L6" s="453"/>
      <c r="M6" s="453"/>
    </row>
    <row r="7" spans="1:14" ht="12">
      <c r="A7" s="336" t="s">
        <v>456</v>
      </c>
      <c r="B7" s="359"/>
      <c r="C7" s="360" t="s">
        <v>219</v>
      </c>
      <c r="D7" s="361" t="s">
        <v>217</v>
      </c>
      <c r="E7" s="360"/>
      <c r="F7" s="356" t="s">
        <v>218</v>
      </c>
      <c r="G7" s="362">
        <v>45.62</v>
      </c>
      <c r="H7" s="362"/>
      <c r="I7" s="1004">
        <v>45.94</v>
      </c>
      <c r="J7" s="1005"/>
      <c r="L7" s="453"/>
      <c r="M7" s="453"/>
    </row>
    <row r="8" spans="1:14" ht="12">
      <c r="A8" s="336" t="s">
        <v>442</v>
      </c>
      <c r="B8" s="352"/>
      <c r="C8" s="353" t="s">
        <v>220</v>
      </c>
      <c r="D8" s="356" t="s">
        <v>4</v>
      </c>
      <c r="E8" s="363"/>
      <c r="F8" s="356" t="s">
        <v>218</v>
      </c>
      <c r="G8" s="364"/>
      <c r="H8" s="364">
        <v>13.9</v>
      </c>
      <c r="I8" s="1004"/>
      <c r="J8" s="1005">
        <v>13.99</v>
      </c>
      <c r="L8" s="453"/>
      <c r="M8" s="453"/>
    </row>
    <row r="9" spans="1:14" ht="12">
      <c r="A9" s="336" t="s">
        <v>443</v>
      </c>
      <c r="B9" s="352"/>
      <c r="C9" s="353" t="s">
        <v>874</v>
      </c>
      <c r="D9" s="356" t="s">
        <v>4</v>
      </c>
      <c r="E9" s="363"/>
      <c r="F9" s="356" t="s">
        <v>218</v>
      </c>
      <c r="G9" s="364"/>
      <c r="H9" s="364">
        <v>16.510000000000002</v>
      </c>
      <c r="I9" s="1004"/>
      <c r="J9" s="1005">
        <v>16.63</v>
      </c>
      <c r="L9" s="453"/>
      <c r="M9" s="453"/>
    </row>
    <row r="10" spans="1:14" ht="12">
      <c r="A10" s="336" t="s">
        <v>444</v>
      </c>
      <c r="B10" s="352"/>
      <c r="C10" s="353" t="s">
        <v>221</v>
      </c>
      <c r="D10" s="356" t="s">
        <v>4</v>
      </c>
      <c r="E10" s="363"/>
      <c r="F10" s="356" t="s">
        <v>218</v>
      </c>
      <c r="G10" s="364"/>
      <c r="H10" s="364">
        <v>20.399999999999999</v>
      </c>
      <c r="I10" s="1004"/>
      <c r="J10" s="1005">
        <v>20.54</v>
      </c>
      <c r="L10" s="453"/>
      <c r="M10" s="453"/>
    </row>
    <row r="11" spans="1:14" ht="12">
      <c r="A11" s="336" t="s">
        <v>731</v>
      </c>
      <c r="B11" s="359"/>
      <c r="C11" s="360" t="s">
        <v>222</v>
      </c>
      <c r="D11" s="356" t="s">
        <v>4</v>
      </c>
      <c r="E11" s="360"/>
      <c r="F11" s="356" t="s">
        <v>218</v>
      </c>
      <c r="G11" s="362"/>
      <c r="H11" s="362">
        <v>13.42</v>
      </c>
      <c r="I11" s="1004"/>
      <c r="J11" s="1005">
        <v>13.51</v>
      </c>
      <c r="L11" s="453"/>
      <c r="M11" s="453"/>
    </row>
    <row r="12" spans="1:14" s="365" customFormat="1" ht="12">
      <c r="A12" s="336" t="s">
        <v>732</v>
      </c>
      <c r="B12" s="359"/>
      <c r="C12" s="360" t="s">
        <v>223</v>
      </c>
      <c r="D12" s="356" t="s">
        <v>4</v>
      </c>
      <c r="E12" s="360"/>
      <c r="F12" s="356" t="s">
        <v>218</v>
      </c>
      <c r="G12" s="362"/>
      <c r="H12" s="362">
        <v>14.09</v>
      </c>
      <c r="I12" s="1004"/>
      <c r="J12" s="1005"/>
      <c r="L12" s="453"/>
      <c r="M12" s="453"/>
      <c r="N12" s="336"/>
    </row>
    <row r="13" spans="1:14" ht="12">
      <c r="A13" s="336" t="s">
        <v>733</v>
      </c>
      <c r="B13" s="359"/>
      <c r="C13" s="360" t="s">
        <v>224</v>
      </c>
      <c r="D13" s="356" t="s">
        <v>4</v>
      </c>
      <c r="E13" s="360"/>
      <c r="F13" s="356" t="s">
        <v>218</v>
      </c>
      <c r="G13" s="362"/>
      <c r="H13" s="362">
        <v>19.739999999999998</v>
      </c>
      <c r="I13" s="1004"/>
      <c r="J13" s="1005">
        <v>19.88</v>
      </c>
      <c r="L13" s="453"/>
      <c r="M13" s="453"/>
    </row>
    <row r="14" spans="1:14" ht="12">
      <c r="A14" s="336" t="s">
        <v>451</v>
      </c>
      <c r="B14" s="359"/>
      <c r="C14" s="360" t="s">
        <v>225</v>
      </c>
      <c r="D14" s="356" t="s">
        <v>4</v>
      </c>
      <c r="E14" s="360"/>
      <c r="F14" s="356" t="s">
        <v>218</v>
      </c>
      <c r="G14" s="362"/>
      <c r="H14" s="362">
        <v>139.75</v>
      </c>
      <c r="I14" s="1004"/>
      <c r="J14" s="1005">
        <v>140.72999999999999</v>
      </c>
      <c r="L14" s="453"/>
      <c r="M14" s="453"/>
    </row>
    <row r="15" spans="1:14" ht="12">
      <c r="A15" s="336" t="s">
        <v>452</v>
      </c>
      <c r="B15" s="359"/>
      <c r="C15" s="360" t="s">
        <v>226</v>
      </c>
      <c r="D15" s="356" t="s">
        <v>4</v>
      </c>
      <c r="E15" s="360"/>
      <c r="F15" s="356" t="s">
        <v>218</v>
      </c>
      <c r="G15" s="362"/>
      <c r="H15" s="362">
        <v>175.03</v>
      </c>
      <c r="I15" s="1004"/>
      <c r="J15" s="1005">
        <v>176.26</v>
      </c>
      <c r="L15" s="453"/>
      <c r="M15" s="453"/>
    </row>
    <row r="16" spans="1:14" ht="12">
      <c r="A16" s="336" t="s">
        <v>453</v>
      </c>
      <c r="B16" s="359"/>
      <c r="C16" s="360" t="s">
        <v>227</v>
      </c>
      <c r="D16" s="356" t="s">
        <v>4</v>
      </c>
      <c r="E16" s="360"/>
      <c r="F16" s="356" t="s">
        <v>218</v>
      </c>
      <c r="G16" s="362"/>
      <c r="H16" s="362">
        <v>206.51</v>
      </c>
      <c r="I16" s="1004"/>
      <c r="J16" s="1005">
        <v>207.96</v>
      </c>
      <c r="L16" s="453"/>
      <c r="M16" s="453"/>
    </row>
    <row r="17" spans="1:13" ht="12">
      <c r="A17" s="336" t="s">
        <v>454</v>
      </c>
      <c r="B17" s="359" t="s">
        <v>228</v>
      </c>
      <c r="C17" s="360" t="s">
        <v>229</v>
      </c>
      <c r="D17" s="356" t="s">
        <v>4</v>
      </c>
      <c r="E17" s="360"/>
      <c r="F17" s="356" t="s">
        <v>218</v>
      </c>
      <c r="G17" s="362"/>
      <c r="H17" s="362">
        <v>45.62</v>
      </c>
      <c r="I17" s="1004"/>
      <c r="J17" s="1005">
        <v>45.94</v>
      </c>
      <c r="L17" s="453"/>
      <c r="M17" s="453"/>
    </row>
    <row r="18" spans="1:13" ht="12">
      <c r="A18" s="336" t="s">
        <v>734</v>
      </c>
      <c r="B18" s="359"/>
      <c r="C18" s="353"/>
      <c r="D18" s="356"/>
      <c r="E18" s="360"/>
      <c r="F18" s="356"/>
      <c r="G18" s="362"/>
      <c r="H18" s="362"/>
      <c r="I18" s="1004"/>
      <c r="J18" s="1005"/>
      <c r="L18" s="453"/>
      <c r="M18" s="453"/>
    </row>
    <row r="19" spans="1:13" ht="12">
      <c r="A19" s="336" t="s">
        <v>586</v>
      </c>
      <c r="B19" s="366"/>
      <c r="C19" s="353" t="s">
        <v>230</v>
      </c>
      <c r="D19" s="356" t="s">
        <v>4</v>
      </c>
      <c r="E19" s="360"/>
      <c r="F19" s="356" t="s">
        <v>218</v>
      </c>
      <c r="G19" s="364"/>
      <c r="H19" s="364">
        <v>0.95</v>
      </c>
      <c r="I19" s="1004"/>
      <c r="J19" s="1005">
        <v>0.96</v>
      </c>
      <c r="L19" s="453"/>
      <c r="M19" s="453"/>
    </row>
    <row r="20" spans="1:13" ht="12">
      <c r="A20" s="336" t="s">
        <v>592</v>
      </c>
      <c r="B20" s="366"/>
      <c r="C20" s="353" t="s">
        <v>231</v>
      </c>
      <c r="D20" s="356" t="s">
        <v>4</v>
      </c>
      <c r="E20" s="360"/>
      <c r="F20" s="356" t="s">
        <v>218</v>
      </c>
      <c r="G20" s="364"/>
      <c r="H20" s="364">
        <v>0.95</v>
      </c>
      <c r="I20" s="1004"/>
      <c r="J20" s="1005">
        <v>0.96</v>
      </c>
      <c r="L20" s="453"/>
      <c r="M20" s="453"/>
    </row>
    <row r="21" spans="1:13" ht="12">
      <c r="A21" s="336" t="s">
        <v>584</v>
      </c>
      <c r="B21" s="352" t="s">
        <v>232</v>
      </c>
      <c r="C21" s="353" t="s">
        <v>233</v>
      </c>
      <c r="D21" s="356" t="s">
        <v>4</v>
      </c>
      <c r="E21" s="363"/>
      <c r="F21" s="356" t="s">
        <v>234</v>
      </c>
      <c r="G21" s="364"/>
      <c r="H21" s="364"/>
      <c r="I21" s="1004"/>
      <c r="J21" s="1005"/>
      <c r="L21" s="453"/>
      <c r="M21" s="453"/>
    </row>
    <row r="22" spans="1:13" ht="12">
      <c r="A22" s="336" t="s">
        <v>585</v>
      </c>
      <c r="B22" s="352" t="s">
        <v>235</v>
      </c>
      <c r="C22" s="367" t="s">
        <v>236</v>
      </c>
      <c r="D22" s="356" t="s">
        <v>217</v>
      </c>
      <c r="E22" s="363"/>
      <c r="F22" s="356" t="s">
        <v>237</v>
      </c>
      <c r="G22" s="364">
        <v>15.62</v>
      </c>
      <c r="H22" s="364"/>
      <c r="I22" s="1004">
        <v>15.73</v>
      </c>
      <c r="J22" s="1005"/>
      <c r="L22" s="453"/>
      <c r="M22" s="453"/>
    </row>
    <row r="23" spans="1:13" ht="12">
      <c r="A23" s="336" t="s">
        <v>588</v>
      </c>
      <c r="B23" s="352" t="s">
        <v>238</v>
      </c>
      <c r="C23" s="368" t="s">
        <v>239</v>
      </c>
      <c r="D23" s="356" t="s">
        <v>4</v>
      </c>
      <c r="E23" s="363"/>
      <c r="F23" s="356" t="s">
        <v>234</v>
      </c>
      <c r="G23" s="364"/>
      <c r="H23" s="364">
        <v>7.52</v>
      </c>
      <c r="I23" s="1004"/>
      <c r="J23" s="1005">
        <v>7.58</v>
      </c>
      <c r="L23" s="453"/>
      <c r="M23" s="453"/>
    </row>
    <row r="24" spans="1:13" ht="12">
      <c r="A24" s="336" t="s">
        <v>589</v>
      </c>
      <c r="B24" s="352" t="s">
        <v>240</v>
      </c>
      <c r="C24" s="367" t="s">
        <v>241</v>
      </c>
      <c r="D24" s="356" t="s">
        <v>217</v>
      </c>
      <c r="E24" s="363"/>
      <c r="F24" s="356" t="s">
        <v>234</v>
      </c>
      <c r="G24" s="364">
        <v>15.62</v>
      </c>
      <c r="H24" s="364"/>
      <c r="I24" s="1004">
        <v>15.73</v>
      </c>
      <c r="J24" s="1005"/>
      <c r="L24" s="453"/>
      <c r="M24" s="453"/>
    </row>
    <row r="25" spans="1:13" ht="12">
      <c r="A25" s="336" t="s">
        <v>735</v>
      </c>
      <c r="B25" s="352" t="s">
        <v>242</v>
      </c>
      <c r="C25" s="369" t="s">
        <v>243</v>
      </c>
      <c r="D25" s="360" t="s">
        <v>217</v>
      </c>
      <c r="E25" s="370"/>
      <c r="F25" s="356" t="s">
        <v>244</v>
      </c>
      <c r="G25" s="364">
        <v>15.62</v>
      </c>
      <c r="H25" s="364"/>
      <c r="I25" s="1004">
        <v>15.73</v>
      </c>
      <c r="J25" s="1005"/>
      <c r="L25" s="453"/>
      <c r="M25" s="453"/>
    </row>
    <row r="26" spans="1:13" ht="12">
      <c r="A26" s="336" t="s">
        <v>736</v>
      </c>
      <c r="B26" s="352"/>
      <c r="C26" s="367" t="s">
        <v>245</v>
      </c>
      <c r="D26" s="370" t="s">
        <v>246</v>
      </c>
      <c r="E26" s="371"/>
      <c r="F26" s="372"/>
      <c r="G26" s="364"/>
      <c r="H26" s="364"/>
      <c r="I26" s="1004"/>
      <c r="J26" s="1005"/>
      <c r="L26" s="453"/>
      <c r="M26" s="453"/>
    </row>
    <row r="27" spans="1:13" ht="12">
      <c r="A27" s="336" t="s">
        <v>734</v>
      </c>
      <c r="B27" s="352"/>
      <c r="C27" s="369"/>
      <c r="D27" s="363"/>
      <c r="E27" s="371"/>
      <c r="F27" s="372"/>
      <c r="G27" s="364"/>
      <c r="H27" s="364"/>
      <c r="I27" s="1004"/>
      <c r="J27" s="1005"/>
      <c r="L27" s="453"/>
      <c r="M27" s="453"/>
    </row>
    <row r="28" spans="1:13" ht="12">
      <c r="A28" s="336" t="s">
        <v>587</v>
      </c>
      <c r="B28" s="352" t="s">
        <v>247</v>
      </c>
      <c r="C28" s="369" t="s">
        <v>248</v>
      </c>
      <c r="D28" s="360" t="s">
        <v>4</v>
      </c>
      <c r="E28" s="371"/>
      <c r="F28" s="373" t="s">
        <v>249</v>
      </c>
      <c r="G28" s="374"/>
      <c r="H28" s="374">
        <v>4.5</v>
      </c>
      <c r="I28" s="1004"/>
      <c r="J28" s="1005">
        <v>4.53</v>
      </c>
      <c r="L28" s="453"/>
      <c r="M28" s="453"/>
    </row>
    <row r="29" spans="1:13" ht="12">
      <c r="A29" s="336" t="s">
        <v>734</v>
      </c>
      <c r="B29" s="352"/>
      <c r="C29" s="369"/>
      <c r="D29" s="360"/>
      <c r="E29" s="371"/>
      <c r="F29" s="373"/>
      <c r="G29" s="364"/>
      <c r="H29" s="364"/>
      <c r="I29" s="1004"/>
      <c r="J29" s="1005"/>
      <c r="L29" s="453"/>
      <c r="M29" s="453"/>
    </row>
    <row r="30" spans="1:13" ht="12">
      <c r="A30" s="336" t="s">
        <v>737</v>
      </c>
      <c r="B30" s="352"/>
      <c r="C30" s="369" t="s">
        <v>250</v>
      </c>
      <c r="D30" s="360" t="s">
        <v>5</v>
      </c>
      <c r="E30" s="371" t="s">
        <v>251</v>
      </c>
      <c r="F30" s="375" t="s">
        <v>252</v>
      </c>
      <c r="G30" s="364">
        <v>0</v>
      </c>
      <c r="H30" s="364"/>
      <c r="I30" s="1004">
        <v>0</v>
      </c>
      <c r="J30" s="1005"/>
      <c r="L30" s="453"/>
      <c r="M30" s="453"/>
    </row>
    <row r="31" spans="1:13" ht="12">
      <c r="A31" s="336" t="s">
        <v>738</v>
      </c>
      <c r="B31" s="352"/>
      <c r="C31" s="356" t="s">
        <v>253</v>
      </c>
      <c r="D31" s="363" t="s">
        <v>5</v>
      </c>
      <c r="E31" s="370"/>
      <c r="F31" s="375" t="s">
        <v>252</v>
      </c>
      <c r="G31" s="364">
        <v>7.5</v>
      </c>
      <c r="H31" s="364"/>
      <c r="I31" s="1004">
        <v>7.5</v>
      </c>
      <c r="J31" s="1005"/>
      <c r="L31" s="453"/>
      <c r="M31" s="453"/>
    </row>
    <row r="32" spans="1:13" ht="12">
      <c r="A32" s="336" t="s">
        <v>734</v>
      </c>
      <c r="B32" s="352"/>
      <c r="C32" s="356"/>
      <c r="D32" s="363"/>
      <c r="E32" s="370"/>
      <c r="F32" s="376"/>
      <c r="G32" s="364"/>
      <c r="H32" s="364"/>
      <c r="I32" s="1004"/>
      <c r="J32" s="1005"/>
      <c r="L32" s="453"/>
      <c r="M32" s="453"/>
    </row>
    <row r="33" spans="1:13" ht="12">
      <c r="A33" s="336" t="s">
        <v>739</v>
      </c>
      <c r="B33" s="352"/>
      <c r="C33" s="353" t="s">
        <v>254</v>
      </c>
      <c r="D33" s="356" t="s">
        <v>217</v>
      </c>
      <c r="E33" s="363"/>
      <c r="F33" s="356" t="s">
        <v>218</v>
      </c>
      <c r="G33" s="364">
        <v>16.98</v>
      </c>
      <c r="H33" s="364"/>
      <c r="I33" s="1004">
        <v>17.100000000000001</v>
      </c>
      <c r="J33" s="1005"/>
      <c r="L33" s="453"/>
      <c r="M33" s="453"/>
    </row>
    <row r="34" spans="1:13" ht="12">
      <c r="A34" s="336" t="s">
        <v>740</v>
      </c>
      <c r="B34" s="352"/>
      <c r="C34" s="353" t="s">
        <v>255</v>
      </c>
      <c r="D34" s="356" t="s">
        <v>217</v>
      </c>
      <c r="E34" s="363"/>
      <c r="F34" s="356" t="s">
        <v>218</v>
      </c>
      <c r="G34" s="364">
        <v>16.98</v>
      </c>
      <c r="H34" s="364"/>
      <c r="I34" s="1004">
        <v>17.100000000000001</v>
      </c>
      <c r="J34" s="1005"/>
      <c r="L34" s="453"/>
      <c r="M34" s="453"/>
    </row>
    <row r="35" spans="1:13" ht="12">
      <c r="A35" s="336" t="s">
        <v>741</v>
      </c>
      <c r="B35" s="352"/>
      <c r="C35" s="353" t="s">
        <v>256</v>
      </c>
      <c r="D35" s="356" t="s">
        <v>217</v>
      </c>
      <c r="E35" s="363"/>
      <c r="F35" s="356" t="s">
        <v>218</v>
      </c>
      <c r="G35" s="364">
        <v>58.09</v>
      </c>
      <c r="H35" s="364"/>
      <c r="I35" s="1004">
        <v>58.5</v>
      </c>
      <c r="J35" s="1005"/>
      <c r="L35" s="453"/>
      <c r="M35" s="453"/>
    </row>
    <row r="36" spans="1:13" ht="12">
      <c r="A36" s="336" t="s">
        <v>742</v>
      </c>
      <c r="B36" s="352"/>
      <c r="C36" s="353" t="s">
        <v>257</v>
      </c>
      <c r="D36" s="356" t="s">
        <v>217</v>
      </c>
      <c r="E36" s="363"/>
      <c r="F36" s="356" t="s">
        <v>218</v>
      </c>
      <c r="G36" s="364">
        <v>16.98</v>
      </c>
      <c r="H36" s="364"/>
      <c r="I36" s="1004">
        <v>17.100000000000001</v>
      </c>
      <c r="J36" s="1005"/>
      <c r="L36" s="453"/>
      <c r="M36" s="453"/>
    </row>
    <row r="37" spans="1:13" ht="12">
      <c r="A37" s="336" t="s">
        <v>743</v>
      </c>
      <c r="B37" s="352"/>
      <c r="C37" s="353" t="s">
        <v>258</v>
      </c>
      <c r="D37" s="356" t="s">
        <v>217</v>
      </c>
      <c r="E37" s="363"/>
      <c r="F37" s="356" t="s">
        <v>218</v>
      </c>
      <c r="G37" s="364">
        <v>16.98</v>
      </c>
      <c r="H37" s="364"/>
      <c r="I37" s="1004">
        <v>17.100000000000001</v>
      </c>
      <c r="J37" s="1005"/>
      <c r="L37" s="453"/>
      <c r="M37" s="453"/>
    </row>
    <row r="38" spans="1:13" ht="12">
      <c r="A38" s="336" t="s">
        <v>744</v>
      </c>
      <c r="B38" s="352"/>
      <c r="C38" s="353" t="s">
        <v>259</v>
      </c>
      <c r="D38" s="356" t="s">
        <v>217</v>
      </c>
      <c r="E38" s="363"/>
      <c r="F38" s="356" t="s">
        <v>218</v>
      </c>
      <c r="G38" s="364">
        <v>57.89</v>
      </c>
      <c r="H38" s="364"/>
      <c r="I38" s="1004">
        <v>58.3</v>
      </c>
      <c r="J38" s="1005"/>
      <c r="L38" s="453"/>
      <c r="M38" s="453"/>
    </row>
    <row r="39" spans="1:13" ht="12">
      <c r="A39" s="336" t="s">
        <v>734</v>
      </c>
      <c r="B39" s="352"/>
      <c r="C39" s="353"/>
      <c r="E39" s="363"/>
      <c r="G39" s="364"/>
      <c r="H39" s="364"/>
      <c r="I39" s="1004"/>
      <c r="J39" s="1005"/>
      <c r="L39" s="453"/>
      <c r="M39" s="453"/>
    </row>
    <row r="40" spans="1:13" ht="12">
      <c r="A40" s="336" t="s">
        <v>745</v>
      </c>
      <c r="B40" s="352"/>
      <c r="C40" s="353" t="s">
        <v>260</v>
      </c>
      <c r="D40" s="356" t="s">
        <v>217</v>
      </c>
      <c r="E40" s="363"/>
      <c r="F40" s="356" t="s">
        <v>218</v>
      </c>
      <c r="G40" s="364">
        <v>16.98</v>
      </c>
      <c r="H40" s="364"/>
      <c r="I40" s="1004">
        <v>17.100000000000001</v>
      </c>
      <c r="J40" s="1005"/>
      <c r="L40" s="453"/>
      <c r="M40" s="453"/>
    </row>
    <row r="41" spans="1:13" ht="12">
      <c r="A41" s="336" t="s">
        <v>746</v>
      </c>
      <c r="B41" s="352"/>
      <c r="C41" s="353" t="s">
        <v>261</v>
      </c>
      <c r="D41" s="356" t="s">
        <v>217</v>
      </c>
      <c r="E41" s="363"/>
      <c r="F41" s="356" t="s">
        <v>218</v>
      </c>
      <c r="G41" s="364">
        <v>16.98</v>
      </c>
      <c r="H41" s="364"/>
      <c r="I41" s="1004">
        <v>17.100000000000001</v>
      </c>
      <c r="J41" s="1005"/>
      <c r="L41" s="453"/>
      <c r="M41" s="453"/>
    </row>
    <row r="42" spans="1:13" ht="12">
      <c r="A42" s="336" t="s">
        <v>747</v>
      </c>
      <c r="B42" s="352"/>
      <c r="C42" s="353" t="s">
        <v>262</v>
      </c>
      <c r="D42" s="356" t="s">
        <v>217</v>
      </c>
      <c r="E42" s="363"/>
      <c r="F42" s="356" t="s">
        <v>218</v>
      </c>
      <c r="G42" s="364">
        <v>16.98</v>
      </c>
      <c r="H42" s="364"/>
      <c r="I42" s="1004">
        <v>17.100000000000001</v>
      </c>
      <c r="J42" s="1005"/>
      <c r="L42" s="453"/>
      <c r="M42" s="453"/>
    </row>
    <row r="43" spans="1:13" ht="12">
      <c r="A43" s="336" t="s">
        <v>748</v>
      </c>
      <c r="B43" s="359"/>
      <c r="C43" s="360" t="s">
        <v>263</v>
      </c>
      <c r="D43" s="356" t="s">
        <v>217</v>
      </c>
      <c r="E43" s="360"/>
      <c r="F43" s="356" t="s">
        <v>218</v>
      </c>
      <c r="G43" s="362">
        <v>701.45</v>
      </c>
      <c r="H43" s="362"/>
      <c r="I43" s="1004">
        <v>706.37</v>
      </c>
      <c r="J43" s="1005"/>
      <c r="L43" s="453"/>
      <c r="M43" s="453"/>
    </row>
    <row r="44" spans="1:13" ht="12">
      <c r="A44" s="336" t="s">
        <v>749</v>
      </c>
      <c r="B44" s="359"/>
      <c r="C44" s="360" t="s">
        <v>264</v>
      </c>
      <c r="D44" s="356" t="s">
        <v>217</v>
      </c>
      <c r="E44" s="360"/>
      <c r="F44" s="356" t="s">
        <v>218</v>
      </c>
      <c r="G44" s="362">
        <v>701.45</v>
      </c>
      <c r="H44" s="362"/>
      <c r="I44" s="1004">
        <v>706.37</v>
      </c>
      <c r="J44" s="1005"/>
      <c r="L44" s="453"/>
      <c r="M44" s="453"/>
    </row>
    <row r="45" spans="1:13" ht="12">
      <c r="A45" s="336" t="s">
        <v>750</v>
      </c>
      <c r="B45" s="359"/>
      <c r="C45" s="360" t="s">
        <v>265</v>
      </c>
      <c r="D45" s="356" t="s">
        <v>217</v>
      </c>
      <c r="E45" s="360"/>
      <c r="F45" s="356" t="s">
        <v>218</v>
      </c>
      <c r="G45" s="362">
        <v>701.45</v>
      </c>
      <c r="H45" s="362"/>
      <c r="I45" s="1004">
        <v>706.37</v>
      </c>
      <c r="J45" s="1005"/>
      <c r="L45" s="453"/>
      <c r="M45" s="453"/>
    </row>
    <row r="46" spans="1:13" ht="12">
      <c r="A46" s="336" t="s">
        <v>734</v>
      </c>
      <c r="B46" s="352"/>
      <c r="C46" s="353"/>
      <c r="E46" s="363"/>
      <c r="G46" s="364"/>
      <c r="H46" s="364"/>
      <c r="I46" s="1004"/>
      <c r="J46" s="1005"/>
      <c r="L46" s="453"/>
      <c r="M46" s="453"/>
    </row>
    <row r="47" spans="1:13" ht="12">
      <c r="A47" s="336" t="s">
        <v>751</v>
      </c>
      <c r="B47" s="359"/>
      <c r="C47" s="360" t="s">
        <v>266</v>
      </c>
      <c r="D47" s="356" t="s">
        <v>217</v>
      </c>
      <c r="E47" s="360"/>
      <c r="F47" s="356" t="s">
        <v>218</v>
      </c>
      <c r="G47" s="362">
        <v>701.92</v>
      </c>
      <c r="H47" s="362"/>
      <c r="I47" s="1004">
        <v>706.84</v>
      </c>
      <c r="J47" s="1005"/>
      <c r="L47" s="453"/>
      <c r="M47" s="453"/>
    </row>
    <row r="48" spans="1:13" ht="12">
      <c r="A48" s="336" t="s">
        <v>752</v>
      </c>
      <c r="B48" s="359"/>
      <c r="C48" s="360" t="s">
        <v>267</v>
      </c>
      <c r="D48" s="356" t="s">
        <v>217</v>
      </c>
      <c r="E48" s="360"/>
      <c r="F48" s="356" t="s">
        <v>218</v>
      </c>
      <c r="G48" s="362">
        <v>233.97</v>
      </c>
      <c r="H48" s="362"/>
      <c r="I48" s="1004">
        <v>235.61</v>
      </c>
      <c r="J48" s="1005"/>
      <c r="L48" s="453"/>
      <c r="M48" s="453"/>
    </row>
    <row r="49" spans="1:13" ht="12">
      <c r="A49" s="336" t="s">
        <v>753</v>
      </c>
      <c r="B49" s="359"/>
      <c r="C49" s="360" t="s">
        <v>268</v>
      </c>
      <c r="D49" s="356" t="s">
        <v>217</v>
      </c>
      <c r="E49" s="360"/>
      <c r="F49" s="356" t="s">
        <v>218</v>
      </c>
      <c r="G49" s="362">
        <v>93.59</v>
      </c>
      <c r="H49" s="362"/>
      <c r="I49" s="1004">
        <v>94.24</v>
      </c>
      <c r="J49" s="1005"/>
      <c r="L49" s="453"/>
      <c r="M49" s="453"/>
    </row>
    <row r="50" spans="1:13" ht="12">
      <c r="A50" s="336" t="s">
        <v>754</v>
      </c>
      <c r="B50" s="359"/>
      <c r="C50" s="360" t="s">
        <v>269</v>
      </c>
      <c r="D50" s="356" t="s">
        <v>217</v>
      </c>
      <c r="E50" s="360"/>
      <c r="F50" s="356" t="s">
        <v>218</v>
      </c>
      <c r="G50" s="362">
        <v>467.95</v>
      </c>
      <c r="H50" s="362"/>
      <c r="I50" s="1004">
        <v>471.23</v>
      </c>
      <c r="J50" s="1005"/>
      <c r="L50" s="453"/>
      <c r="M50" s="453"/>
    </row>
    <row r="51" spans="1:13" ht="12">
      <c r="A51" s="336" t="s">
        <v>755</v>
      </c>
      <c r="B51" s="359"/>
      <c r="C51" s="360" t="s">
        <v>270</v>
      </c>
      <c r="D51" s="356" t="s">
        <v>217</v>
      </c>
      <c r="E51" s="360"/>
      <c r="F51" s="356" t="s">
        <v>218</v>
      </c>
      <c r="G51" s="362">
        <v>93.59</v>
      </c>
      <c r="H51" s="362"/>
      <c r="I51" s="1004">
        <v>94.24</v>
      </c>
      <c r="J51" s="1005"/>
      <c r="L51" s="453"/>
      <c r="M51" s="453"/>
    </row>
    <row r="52" spans="1:13" ht="12">
      <c r="A52" s="336" t="s">
        <v>756</v>
      </c>
      <c r="B52" s="359"/>
      <c r="C52" s="360" t="s">
        <v>271</v>
      </c>
      <c r="D52" s="356" t="s">
        <v>217</v>
      </c>
      <c r="E52" s="360"/>
      <c r="F52" s="356" t="s">
        <v>218</v>
      </c>
      <c r="G52" s="362">
        <v>93.59</v>
      </c>
      <c r="H52" s="362"/>
      <c r="I52" s="1004">
        <v>94.24</v>
      </c>
      <c r="J52" s="1005"/>
      <c r="L52" s="453"/>
      <c r="M52" s="453"/>
    </row>
    <row r="53" spans="1:13" ht="12">
      <c r="A53" s="336" t="s">
        <v>734</v>
      </c>
      <c r="B53" s="352"/>
      <c r="C53" s="353"/>
      <c r="E53" s="363"/>
      <c r="G53" s="364"/>
      <c r="H53" s="364"/>
      <c r="I53" s="1004"/>
      <c r="J53" s="1005"/>
      <c r="L53" s="453"/>
      <c r="M53" s="453"/>
    </row>
    <row r="54" spans="1:13" ht="12">
      <c r="A54" s="336" t="s">
        <v>445</v>
      </c>
      <c r="B54" s="352" t="s">
        <v>272</v>
      </c>
      <c r="C54" s="353" t="s">
        <v>273</v>
      </c>
      <c r="D54" s="356" t="s">
        <v>217</v>
      </c>
      <c r="E54" s="363"/>
      <c r="F54" s="356" t="s">
        <v>218</v>
      </c>
      <c r="G54" s="364">
        <v>18.16</v>
      </c>
      <c r="H54" s="364"/>
      <c r="I54" s="1004">
        <v>18.29</v>
      </c>
      <c r="J54" s="1005"/>
      <c r="L54" s="453"/>
      <c r="M54" s="453"/>
    </row>
    <row r="55" spans="1:13" ht="12">
      <c r="A55" s="336" t="s">
        <v>446</v>
      </c>
      <c r="B55" s="352" t="s">
        <v>272</v>
      </c>
      <c r="C55" s="353" t="s">
        <v>274</v>
      </c>
      <c r="D55" s="356" t="s">
        <v>217</v>
      </c>
      <c r="E55" s="363"/>
      <c r="F55" s="356" t="s">
        <v>218</v>
      </c>
      <c r="G55" s="364">
        <v>20.18</v>
      </c>
      <c r="H55" s="364"/>
      <c r="I55" s="1004">
        <v>20.32</v>
      </c>
      <c r="J55" s="1005"/>
      <c r="L55" s="453"/>
      <c r="M55" s="453"/>
    </row>
    <row r="56" spans="1:13" ht="12">
      <c r="A56" s="336" t="s">
        <v>447</v>
      </c>
      <c r="B56" s="352" t="s">
        <v>272</v>
      </c>
      <c r="C56" s="353" t="s">
        <v>275</v>
      </c>
      <c r="D56" s="356" t="s">
        <v>217</v>
      </c>
      <c r="E56" s="363"/>
      <c r="F56" s="356" t="s">
        <v>218</v>
      </c>
      <c r="G56" s="364">
        <v>20.18</v>
      </c>
      <c r="H56" s="364"/>
      <c r="I56" s="1004">
        <v>20.32</v>
      </c>
      <c r="J56" s="1005"/>
      <c r="L56" s="453"/>
      <c r="M56" s="453"/>
    </row>
    <row r="57" spans="1:13" ht="12">
      <c r="A57" s="336" t="s">
        <v>448</v>
      </c>
      <c r="B57" s="359" t="s">
        <v>178</v>
      </c>
      <c r="C57" s="360" t="s">
        <v>276</v>
      </c>
      <c r="D57" s="356" t="s">
        <v>217</v>
      </c>
      <c r="E57" s="360"/>
      <c r="F57" s="356" t="s">
        <v>218</v>
      </c>
      <c r="G57" s="362">
        <v>748.25</v>
      </c>
      <c r="H57" s="362"/>
      <c r="I57" s="1004">
        <v>753.49</v>
      </c>
      <c r="J57" s="1005"/>
      <c r="L57" s="453"/>
      <c r="M57" s="453"/>
    </row>
    <row r="58" spans="1:13" ht="12">
      <c r="A58" s="336" t="s">
        <v>449</v>
      </c>
      <c r="B58" s="359" t="s">
        <v>178</v>
      </c>
      <c r="C58" s="360" t="s">
        <v>277</v>
      </c>
      <c r="D58" s="356" t="s">
        <v>217</v>
      </c>
      <c r="E58" s="360"/>
      <c r="F58" s="356" t="s">
        <v>218</v>
      </c>
      <c r="G58" s="362">
        <v>982.22</v>
      </c>
      <c r="H58" s="362"/>
      <c r="I58" s="1004">
        <v>989.1</v>
      </c>
      <c r="J58" s="1005"/>
      <c r="L58" s="453"/>
      <c r="M58" s="453"/>
    </row>
    <row r="59" spans="1:13" ht="12">
      <c r="A59" s="336" t="s">
        <v>450</v>
      </c>
      <c r="B59" s="359" t="s">
        <v>178</v>
      </c>
      <c r="C59" s="360" t="s">
        <v>278</v>
      </c>
      <c r="D59" s="356" t="s">
        <v>217</v>
      </c>
      <c r="E59" s="360"/>
      <c r="F59" s="356" t="s">
        <v>218</v>
      </c>
      <c r="G59" s="362">
        <v>1403.37</v>
      </c>
      <c r="H59" s="362"/>
      <c r="I59" s="1004">
        <v>1413.2</v>
      </c>
      <c r="J59" s="1005"/>
      <c r="L59" s="453"/>
      <c r="M59" s="453"/>
    </row>
    <row r="60" spans="1:13" ht="12.6" thickBot="1">
      <c r="A60" s="336" t="s">
        <v>757</v>
      </c>
      <c r="B60" s="377" t="s">
        <v>279</v>
      </c>
      <c r="C60" s="378" t="s">
        <v>280</v>
      </c>
      <c r="D60" s="379" t="s">
        <v>217</v>
      </c>
      <c r="E60" s="378"/>
      <c r="F60" s="379" t="s">
        <v>218</v>
      </c>
      <c r="G60" s="380">
        <v>1189.1300000000001</v>
      </c>
      <c r="H60" s="380"/>
      <c r="I60" s="1006">
        <v>1197.46</v>
      </c>
      <c r="J60" s="1007"/>
      <c r="L60" s="453"/>
      <c r="M60" s="453"/>
    </row>
    <row r="61" spans="1:13">
      <c r="A61" s="336" t="s">
        <v>734</v>
      </c>
    </row>
    <row r="62" spans="1:13" ht="13.5" customHeight="1">
      <c r="A62" s="336" t="s">
        <v>734</v>
      </c>
      <c r="B62" s="1051"/>
      <c r="C62" s="1051"/>
      <c r="D62" s="1051"/>
      <c r="E62" s="1051"/>
      <c r="F62" s="1051"/>
      <c r="G62" s="1051"/>
      <c r="H62" s="1051"/>
    </row>
    <row r="63" spans="1:13">
      <c r="A63" s="336" t="s">
        <v>734</v>
      </c>
      <c r="B63" s="1052"/>
      <c r="C63" s="1052"/>
      <c r="D63" s="1052"/>
      <c r="E63" s="1052"/>
      <c r="F63" s="1052"/>
      <c r="G63" s="1052"/>
      <c r="H63" s="1052"/>
    </row>
    <row r="64" spans="1:13" ht="24.75" customHeight="1">
      <c r="A64" s="336" t="s">
        <v>734</v>
      </c>
      <c r="B64" s="1044"/>
      <c r="C64" s="1044"/>
      <c r="D64" s="1044"/>
      <c r="E64" s="1044"/>
      <c r="F64" s="1044"/>
      <c r="G64" s="1044"/>
      <c r="H64" s="1044"/>
      <c r="I64" s="1044"/>
      <c r="J64" s="1044"/>
    </row>
    <row r="65" spans="1:13">
      <c r="A65" s="336" t="s">
        <v>734</v>
      </c>
      <c r="B65" s="1045"/>
      <c r="C65" s="1045"/>
      <c r="D65" s="1045"/>
      <c r="E65" s="1045"/>
      <c r="F65" s="1045"/>
      <c r="G65" s="1045"/>
      <c r="H65" s="1045"/>
    </row>
    <row r="66" spans="1:13" ht="15" customHeight="1">
      <c r="A66" s="336" t="s">
        <v>734</v>
      </c>
      <c r="B66" s="1048"/>
      <c r="C66" s="1048"/>
      <c r="D66" s="1048"/>
      <c r="E66" s="1048"/>
      <c r="F66" s="1048"/>
      <c r="G66" s="1048"/>
      <c r="H66" s="1048"/>
    </row>
    <row r="67" spans="1:13" ht="27.75" customHeight="1">
      <c r="A67" s="336" t="s">
        <v>734</v>
      </c>
      <c r="B67" s="1044"/>
      <c r="C67" s="1044"/>
      <c r="D67" s="1044"/>
      <c r="E67" s="1044"/>
      <c r="F67" s="1044"/>
      <c r="G67" s="1044"/>
      <c r="H67" s="1044"/>
      <c r="I67" s="1044"/>
      <c r="J67" s="1044"/>
    </row>
    <row r="68" spans="1:13" ht="27.75" customHeight="1">
      <c r="A68" s="336" t="s">
        <v>734</v>
      </c>
      <c r="B68" s="1044"/>
      <c r="C68" s="1044"/>
      <c r="D68" s="1044"/>
      <c r="E68" s="1044"/>
      <c r="F68" s="1044"/>
      <c r="G68" s="1044"/>
      <c r="H68" s="1044"/>
      <c r="I68" s="1044"/>
      <c r="J68" s="1044"/>
    </row>
    <row r="69" spans="1:13">
      <c r="A69" s="336" t="s">
        <v>734</v>
      </c>
      <c r="B69" s="1045"/>
      <c r="C69" s="1045"/>
      <c r="D69" s="1045"/>
      <c r="E69" s="1045"/>
      <c r="F69" s="1045"/>
      <c r="G69" s="1045"/>
      <c r="H69" s="1045"/>
    </row>
    <row r="70" spans="1:13">
      <c r="A70" s="336" t="s">
        <v>734</v>
      </c>
      <c r="B70" s="1045"/>
      <c r="C70" s="1045"/>
      <c r="D70" s="1045"/>
      <c r="E70" s="1045"/>
      <c r="F70" s="1045"/>
      <c r="G70" s="1045"/>
      <c r="H70" s="1045"/>
    </row>
    <row r="71" spans="1:13" ht="12">
      <c r="A71" s="336" t="s">
        <v>734</v>
      </c>
      <c r="B71" s="382"/>
      <c r="C71" s="383"/>
      <c r="D71" s="383"/>
      <c r="E71" s="383"/>
      <c r="F71" s="383"/>
      <c r="G71" s="383"/>
      <c r="H71" s="383"/>
    </row>
    <row r="72" spans="1:13" ht="12">
      <c r="A72" s="336" t="s">
        <v>734</v>
      </c>
      <c r="B72" s="382"/>
      <c r="C72" s="383"/>
      <c r="D72" s="383"/>
      <c r="E72" s="383"/>
      <c r="F72" s="383"/>
      <c r="G72" s="383"/>
      <c r="H72" s="383"/>
      <c r="I72" s="383"/>
      <c r="J72" s="383"/>
    </row>
    <row r="73" spans="1:13" ht="12">
      <c r="A73" s="336" t="s">
        <v>734</v>
      </c>
      <c r="B73" s="382"/>
      <c r="C73" s="383"/>
      <c r="D73" s="383"/>
      <c r="E73" s="383"/>
      <c r="F73" s="383"/>
      <c r="G73" s="383"/>
      <c r="H73" s="383"/>
      <c r="I73" s="383"/>
      <c r="J73" s="383"/>
    </row>
    <row r="74" spans="1:13" ht="12" thickBot="1">
      <c r="A74" s="336" t="s">
        <v>734</v>
      </c>
      <c r="G74" s="384"/>
      <c r="H74" s="384"/>
    </row>
    <row r="75" spans="1:13" ht="12">
      <c r="A75" s="336" t="s">
        <v>281</v>
      </c>
      <c r="B75" s="385"/>
      <c r="C75" s="386" t="s">
        <v>281</v>
      </c>
      <c r="D75" s="344"/>
      <c r="E75" s="387"/>
      <c r="F75" s="387"/>
      <c r="G75" s="344"/>
      <c r="H75" s="388"/>
      <c r="I75" s="456" t="s">
        <v>282</v>
      </c>
      <c r="J75" s="457"/>
    </row>
    <row r="76" spans="1:13" ht="12">
      <c r="A76" s="336" t="s">
        <v>758</v>
      </c>
      <c r="B76" s="389" t="s">
        <v>283</v>
      </c>
      <c r="C76" s="390" t="s">
        <v>211</v>
      </c>
      <c r="D76" s="391" t="s">
        <v>212</v>
      </c>
      <c r="E76" s="390" t="s">
        <v>213</v>
      </c>
      <c r="F76" s="390" t="s">
        <v>214</v>
      </c>
      <c r="G76" s="391" t="s">
        <v>127</v>
      </c>
      <c r="H76" s="392" t="s">
        <v>215</v>
      </c>
      <c r="I76" s="391" t="s">
        <v>127</v>
      </c>
      <c r="J76" s="393" t="s">
        <v>215</v>
      </c>
    </row>
    <row r="77" spans="1:13" ht="12">
      <c r="A77" s="336" t="s">
        <v>759</v>
      </c>
      <c r="B77" s="352" t="s">
        <v>284</v>
      </c>
      <c r="C77" s="353" t="s">
        <v>285</v>
      </c>
      <c r="D77" s="360" t="s">
        <v>4</v>
      </c>
      <c r="E77" s="394" t="s">
        <v>286</v>
      </c>
      <c r="F77" s="353" t="s">
        <v>218</v>
      </c>
      <c r="G77" s="395"/>
      <c r="H77" s="362">
        <v>1.18</v>
      </c>
      <c r="I77" s="1004"/>
      <c r="J77" s="1008">
        <v>1.19</v>
      </c>
      <c r="L77" s="453"/>
      <c r="M77" s="453"/>
    </row>
    <row r="78" spans="1:13" ht="12">
      <c r="A78" s="336" t="s">
        <v>760</v>
      </c>
      <c r="B78" s="352"/>
      <c r="C78" s="353" t="s">
        <v>285</v>
      </c>
      <c r="D78" s="360" t="s">
        <v>4</v>
      </c>
      <c r="E78" s="394" t="s">
        <v>287</v>
      </c>
      <c r="F78" s="353" t="s">
        <v>218</v>
      </c>
      <c r="G78" s="395"/>
      <c r="H78" s="362"/>
      <c r="I78" s="1004"/>
      <c r="J78" s="1008"/>
      <c r="L78" s="453"/>
      <c r="M78" s="453"/>
    </row>
    <row r="79" spans="1:13" ht="12">
      <c r="A79" s="336" t="s">
        <v>761</v>
      </c>
      <c r="B79" s="352" t="s">
        <v>288</v>
      </c>
      <c r="C79" s="353" t="s">
        <v>285</v>
      </c>
      <c r="D79" s="360" t="s">
        <v>217</v>
      </c>
      <c r="E79" s="353" t="s">
        <v>289</v>
      </c>
      <c r="F79" s="353" t="s">
        <v>218</v>
      </c>
      <c r="G79" s="364">
        <v>61.58</v>
      </c>
      <c r="H79" s="397"/>
      <c r="I79" s="1004">
        <v>62.01</v>
      </c>
      <c r="J79" s="1008"/>
      <c r="L79" s="453"/>
      <c r="M79" s="453"/>
    </row>
    <row r="80" spans="1:13" ht="12">
      <c r="A80" s="336" t="s">
        <v>762</v>
      </c>
      <c r="B80" s="352"/>
      <c r="C80" s="353" t="s">
        <v>285</v>
      </c>
      <c r="D80" s="360" t="s">
        <v>290</v>
      </c>
      <c r="E80" s="353"/>
      <c r="F80" s="353" t="s">
        <v>218</v>
      </c>
      <c r="G80" s="364"/>
      <c r="H80" s="397"/>
      <c r="I80" s="1004"/>
      <c r="J80" s="1008"/>
      <c r="L80" s="453"/>
      <c r="M80" s="453"/>
    </row>
    <row r="81" spans="1:13" ht="12">
      <c r="A81" s="336" t="s">
        <v>763</v>
      </c>
      <c r="B81" s="352"/>
      <c r="C81" s="353" t="s">
        <v>285</v>
      </c>
      <c r="D81" s="360" t="s">
        <v>291</v>
      </c>
      <c r="E81" s="353" t="s">
        <v>292</v>
      </c>
      <c r="F81" s="353" t="s">
        <v>218</v>
      </c>
      <c r="G81" s="364">
        <v>164.93</v>
      </c>
      <c r="H81" s="397"/>
      <c r="I81" s="1004">
        <v>166.09</v>
      </c>
      <c r="J81" s="1008"/>
      <c r="L81" s="453"/>
      <c r="M81" s="453"/>
    </row>
    <row r="82" spans="1:13" ht="12">
      <c r="A82" s="336" t="s">
        <v>764</v>
      </c>
      <c r="B82" s="352"/>
      <c r="C82" s="353" t="s">
        <v>285</v>
      </c>
      <c r="D82" s="360" t="s">
        <v>291</v>
      </c>
      <c r="E82" s="353" t="s">
        <v>293</v>
      </c>
      <c r="F82" s="353" t="s">
        <v>218</v>
      </c>
      <c r="G82" s="364">
        <v>164.93</v>
      </c>
      <c r="H82" s="397"/>
      <c r="I82" s="1004">
        <v>166.09</v>
      </c>
      <c r="J82" s="1008"/>
      <c r="L82" s="453"/>
      <c r="M82" s="453"/>
    </row>
    <row r="83" spans="1:13" ht="12">
      <c r="A83" s="336" t="s">
        <v>765</v>
      </c>
      <c r="B83" s="352"/>
      <c r="C83" s="353" t="s">
        <v>285</v>
      </c>
      <c r="D83" s="360" t="s">
        <v>291</v>
      </c>
      <c r="E83" s="353" t="s">
        <v>294</v>
      </c>
      <c r="F83" s="353" t="s">
        <v>218</v>
      </c>
      <c r="G83" s="364">
        <v>164.93</v>
      </c>
      <c r="H83" s="397"/>
      <c r="I83" s="1004">
        <v>166.09</v>
      </c>
      <c r="J83" s="1008"/>
      <c r="L83" s="453"/>
      <c r="M83" s="453"/>
    </row>
    <row r="84" spans="1:13" ht="12">
      <c r="A84" s="336" t="s">
        <v>766</v>
      </c>
      <c r="B84" s="352"/>
      <c r="C84" s="353" t="s">
        <v>285</v>
      </c>
      <c r="D84" s="360" t="s">
        <v>291</v>
      </c>
      <c r="E84" s="353" t="s">
        <v>295</v>
      </c>
      <c r="F84" s="353" t="s">
        <v>218</v>
      </c>
      <c r="G84" s="364">
        <v>164.93</v>
      </c>
      <c r="H84" s="397"/>
      <c r="I84" s="1004">
        <v>166.09</v>
      </c>
      <c r="J84" s="1008"/>
      <c r="L84" s="453"/>
      <c r="M84" s="453"/>
    </row>
    <row r="85" spans="1:13" ht="12">
      <c r="A85" s="336" t="s">
        <v>767</v>
      </c>
      <c r="B85" s="352"/>
      <c r="C85" s="353" t="s">
        <v>285</v>
      </c>
      <c r="D85" s="360" t="s">
        <v>291</v>
      </c>
      <c r="E85" s="353" t="s">
        <v>296</v>
      </c>
      <c r="F85" s="353" t="s">
        <v>218</v>
      </c>
      <c r="G85" s="364">
        <v>164.93</v>
      </c>
      <c r="H85" s="397"/>
      <c r="I85" s="1004">
        <v>166.09</v>
      </c>
      <c r="J85" s="1008"/>
      <c r="L85" s="453"/>
      <c r="M85" s="453"/>
    </row>
    <row r="86" spans="1:13" ht="12">
      <c r="A86" s="336" t="s">
        <v>768</v>
      </c>
      <c r="B86" s="352"/>
      <c r="C86" s="353" t="s">
        <v>285</v>
      </c>
      <c r="D86" s="360" t="s">
        <v>291</v>
      </c>
      <c r="E86" s="353" t="s">
        <v>297</v>
      </c>
      <c r="F86" s="353" t="s">
        <v>218</v>
      </c>
      <c r="G86" s="364">
        <v>164.93</v>
      </c>
      <c r="H86" s="397"/>
      <c r="I86" s="1004">
        <v>166.09</v>
      </c>
      <c r="J86" s="1008"/>
      <c r="L86" s="453"/>
      <c r="M86" s="453"/>
    </row>
    <row r="87" spans="1:13" ht="12">
      <c r="A87" s="336" t="s">
        <v>769</v>
      </c>
      <c r="B87" s="352"/>
      <c r="C87" s="353" t="s">
        <v>285</v>
      </c>
      <c r="D87" s="360" t="s">
        <v>291</v>
      </c>
      <c r="E87" s="353" t="s">
        <v>298</v>
      </c>
      <c r="F87" s="353" t="s">
        <v>299</v>
      </c>
      <c r="G87" s="364">
        <v>164.93</v>
      </c>
      <c r="H87" s="397"/>
      <c r="I87" s="1004">
        <v>166.09</v>
      </c>
      <c r="J87" s="1008"/>
      <c r="L87" s="453"/>
      <c r="M87" s="453"/>
    </row>
    <row r="88" spans="1:13" ht="12">
      <c r="A88" s="336" t="s">
        <v>770</v>
      </c>
      <c r="B88" s="352" t="s">
        <v>300</v>
      </c>
      <c r="C88" s="353" t="s">
        <v>285</v>
      </c>
      <c r="D88" s="360" t="s">
        <v>301</v>
      </c>
      <c r="E88" s="368" t="s">
        <v>302</v>
      </c>
      <c r="F88" s="353" t="s">
        <v>218</v>
      </c>
      <c r="G88" s="364">
        <v>39.92</v>
      </c>
      <c r="H88" s="397"/>
      <c r="I88" s="1004">
        <v>40.200000000000003</v>
      </c>
      <c r="J88" s="1008"/>
      <c r="L88" s="453"/>
      <c r="M88" s="453"/>
    </row>
    <row r="89" spans="1:13" ht="12">
      <c r="A89" s="336" t="s">
        <v>734</v>
      </c>
      <c r="B89" s="398"/>
      <c r="C89" s="399"/>
      <c r="D89" s="399"/>
      <c r="E89" s="399"/>
      <c r="F89" s="399"/>
      <c r="G89" s="400"/>
      <c r="H89" s="401"/>
      <c r="I89" s="1009"/>
      <c r="J89" s="1010"/>
      <c r="L89" s="453"/>
      <c r="M89" s="453"/>
    </row>
    <row r="90" spans="1:13" ht="12">
      <c r="A90" s="336" t="s">
        <v>561</v>
      </c>
      <c r="B90" s="352"/>
      <c r="C90" s="353" t="s">
        <v>303</v>
      </c>
      <c r="D90" s="360" t="s">
        <v>4</v>
      </c>
      <c r="E90" s="353"/>
      <c r="F90" s="353" t="s">
        <v>218</v>
      </c>
      <c r="G90" s="395"/>
      <c r="H90" s="362">
        <v>1.18</v>
      </c>
      <c r="I90" s="1004"/>
      <c r="J90" s="1008">
        <v>1.19</v>
      </c>
      <c r="L90" s="453"/>
      <c r="M90" s="453"/>
    </row>
    <row r="91" spans="1:13" ht="12">
      <c r="A91" s="336" t="s">
        <v>567</v>
      </c>
      <c r="B91" s="352" t="s">
        <v>242</v>
      </c>
      <c r="C91" s="353" t="s">
        <v>303</v>
      </c>
      <c r="D91" s="360" t="s">
        <v>217</v>
      </c>
      <c r="E91" s="353"/>
      <c r="F91" s="353" t="s">
        <v>218</v>
      </c>
      <c r="G91" s="364">
        <v>82.25</v>
      </c>
      <c r="H91" s="397"/>
      <c r="I91" s="1004">
        <v>82.82</v>
      </c>
      <c r="J91" s="1008"/>
      <c r="L91" s="453"/>
      <c r="M91" s="453"/>
    </row>
    <row r="92" spans="1:13" ht="12">
      <c r="A92" s="336" t="s">
        <v>771</v>
      </c>
      <c r="B92" s="352"/>
      <c r="C92" s="353" t="s">
        <v>303</v>
      </c>
      <c r="D92" s="360" t="s">
        <v>290</v>
      </c>
      <c r="E92" s="353"/>
      <c r="F92" s="353" t="s">
        <v>218</v>
      </c>
      <c r="G92" s="395"/>
      <c r="H92" s="397"/>
      <c r="I92" s="1004"/>
      <c r="J92" s="1008"/>
      <c r="L92" s="453"/>
      <c r="M92" s="453"/>
    </row>
    <row r="93" spans="1:13" ht="12">
      <c r="A93" s="336" t="s">
        <v>734</v>
      </c>
      <c r="B93" s="398"/>
      <c r="C93" s="399"/>
      <c r="D93" s="399"/>
      <c r="E93" s="399"/>
      <c r="F93" s="399"/>
      <c r="G93" s="400"/>
      <c r="H93" s="401"/>
      <c r="I93" s="1009"/>
      <c r="J93" s="1010"/>
      <c r="L93" s="453"/>
      <c r="M93" s="453"/>
    </row>
    <row r="94" spans="1:13" ht="12">
      <c r="A94" s="336" t="s">
        <v>772</v>
      </c>
      <c r="B94" s="352"/>
      <c r="C94" s="353" t="s">
        <v>304</v>
      </c>
      <c r="D94" s="360" t="s">
        <v>4</v>
      </c>
      <c r="E94" s="353"/>
      <c r="F94" s="353" t="s">
        <v>299</v>
      </c>
      <c r="G94" s="395"/>
      <c r="H94" s="362">
        <v>1.18</v>
      </c>
      <c r="I94" s="1004"/>
      <c r="J94" s="1008">
        <v>1.19</v>
      </c>
      <c r="L94" s="453"/>
      <c r="M94" s="453"/>
    </row>
    <row r="95" spans="1:13" ht="12">
      <c r="A95" s="336" t="s">
        <v>773</v>
      </c>
      <c r="B95" s="352"/>
      <c r="C95" s="353" t="s">
        <v>304</v>
      </c>
      <c r="D95" s="360" t="s">
        <v>217</v>
      </c>
      <c r="E95" s="353"/>
      <c r="F95" s="353" t="s">
        <v>299</v>
      </c>
      <c r="G95" s="364">
        <v>82.25</v>
      </c>
      <c r="H95" s="397"/>
      <c r="I95" s="1004">
        <v>82.82</v>
      </c>
      <c r="J95" s="1008"/>
      <c r="L95" s="453"/>
      <c r="M95" s="453"/>
    </row>
    <row r="96" spans="1:13" ht="12">
      <c r="A96" s="336" t="s">
        <v>774</v>
      </c>
      <c r="B96" s="352"/>
      <c r="C96" s="353" t="s">
        <v>304</v>
      </c>
      <c r="D96" s="360" t="s">
        <v>290</v>
      </c>
      <c r="E96" s="353"/>
      <c r="F96" s="353" t="s">
        <v>299</v>
      </c>
      <c r="G96" s="364"/>
      <c r="H96" s="397"/>
      <c r="I96" s="1004"/>
      <c r="J96" s="1008"/>
      <c r="L96" s="453"/>
      <c r="M96" s="453"/>
    </row>
    <row r="97" spans="1:14" ht="12">
      <c r="A97" s="336" t="s">
        <v>775</v>
      </c>
      <c r="B97" s="352"/>
      <c r="C97" s="353" t="s">
        <v>304</v>
      </c>
      <c r="D97" s="360" t="s">
        <v>305</v>
      </c>
      <c r="E97" s="353"/>
      <c r="F97" s="353" t="s">
        <v>299</v>
      </c>
      <c r="G97" s="364">
        <v>82.25</v>
      </c>
      <c r="H97" s="397"/>
      <c r="I97" s="1004">
        <v>82.82</v>
      </c>
      <c r="J97" s="1008"/>
      <c r="L97" s="453"/>
      <c r="M97" s="453"/>
    </row>
    <row r="98" spans="1:14" ht="12">
      <c r="A98" s="336" t="s">
        <v>734</v>
      </c>
      <c r="B98" s="398"/>
      <c r="C98" s="399"/>
      <c r="D98" s="399"/>
      <c r="E98" s="399"/>
      <c r="F98" s="399"/>
      <c r="G98" s="400"/>
      <c r="H98" s="401"/>
      <c r="I98" s="1009"/>
      <c r="J98" s="1010"/>
      <c r="L98" s="453"/>
      <c r="M98" s="453"/>
    </row>
    <row r="99" spans="1:14" ht="12">
      <c r="A99" s="336" t="s">
        <v>776</v>
      </c>
      <c r="B99" s="352" t="s">
        <v>284</v>
      </c>
      <c r="C99" s="353" t="s">
        <v>306</v>
      </c>
      <c r="D99" s="360" t="s">
        <v>4</v>
      </c>
      <c r="E99" s="394" t="s">
        <v>286</v>
      </c>
      <c r="F99" s="353" t="s">
        <v>218</v>
      </c>
      <c r="G99" s="395"/>
      <c r="H99" s="362">
        <v>1.18</v>
      </c>
      <c r="I99" s="1004"/>
      <c r="J99" s="1008">
        <v>1.19</v>
      </c>
      <c r="L99" s="453"/>
      <c r="M99" s="453"/>
    </row>
    <row r="100" spans="1:14" ht="12">
      <c r="A100" s="336" t="s">
        <v>777</v>
      </c>
      <c r="B100" s="352"/>
      <c r="C100" s="353" t="s">
        <v>306</v>
      </c>
      <c r="D100" s="360" t="s">
        <v>4</v>
      </c>
      <c r="E100" s="394" t="s">
        <v>287</v>
      </c>
      <c r="F100" s="353" t="s">
        <v>218</v>
      </c>
      <c r="G100" s="395"/>
      <c r="H100" s="362"/>
      <c r="I100" s="1004"/>
      <c r="J100" s="1008"/>
      <c r="L100" s="453"/>
      <c r="M100" s="453"/>
    </row>
    <row r="101" spans="1:14" s="365" customFormat="1" ht="12">
      <c r="A101" s="336" t="s">
        <v>778</v>
      </c>
      <c r="B101" s="366" t="s">
        <v>288</v>
      </c>
      <c r="C101" s="353" t="s">
        <v>306</v>
      </c>
      <c r="D101" s="360" t="s">
        <v>217</v>
      </c>
      <c r="E101" s="353" t="s">
        <v>289</v>
      </c>
      <c r="F101" s="353" t="s">
        <v>218</v>
      </c>
      <c r="G101" s="364">
        <v>123.15</v>
      </c>
      <c r="H101" s="397"/>
      <c r="I101" s="1004">
        <v>124.01</v>
      </c>
      <c r="J101" s="1008"/>
      <c r="L101" s="453"/>
      <c r="M101" s="453"/>
      <c r="N101" s="336"/>
    </row>
    <row r="102" spans="1:14" s="365" customFormat="1" ht="12">
      <c r="A102" s="336" t="s">
        <v>779</v>
      </c>
      <c r="B102" s="366" t="s">
        <v>288</v>
      </c>
      <c r="C102" s="353" t="s">
        <v>306</v>
      </c>
      <c r="D102" s="360" t="s">
        <v>217</v>
      </c>
      <c r="E102" s="353" t="s">
        <v>307</v>
      </c>
      <c r="F102" s="353" t="s">
        <v>218</v>
      </c>
      <c r="G102" s="362">
        <v>125.48</v>
      </c>
      <c r="H102" s="362"/>
      <c r="I102" s="1004">
        <v>126.36</v>
      </c>
      <c r="J102" s="1008"/>
      <c r="K102" s="356"/>
      <c r="L102" s="453"/>
      <c r="M102" s="453"/>
      <c r="N102" s="336"/>
    </row>
    <row r="103" spans="1:14" s="365" customFormat="1" ht="12">
      <c r="A103" s="336" t="s">
        <v>780</v>
      </c>
      <c r="B103" s="366"/>
      <c r="C103" s="353" t="s">
        <v>306</v>
      </c>
      <c r="D103" s="360" t="s">
        <v>290</v>
      </c>
      <c r="E103" s="353"/>
      <c r="F103" s="353" t="s">
        <v>218</v>
      </c>
      <c r="G103" s="364"/>
      <c r="H103" s="397"/>
      <c r="I103" s="1004"/>
      <c r="J103" s="1008"/>
      <c r="L103" s="453"/>
      <c r="M103" s="453"/>
      <c r="N103" s="336"/>
    </row>
    <row r="104" spans="1:14" s="365" customFormat="1" ht="12">
      <c r="A104" s="336" t="s">
        <v>781</v>
      </c>
      <c r="B104" s="366"/>
      <c r="C104" s="353" t="s">
        <v>306</v>
      </c>
      <c r="D104" s="360" t="s">
        <v>291</v>
      </c>
      <c r="E104" s="353" t="s">
        <v>308</v>
      </c>
      <c r="F104" s="353" t="s">
        <v>218</v>
      </c>
      <c r="G104" s="364">
        <v>164.93</v>
      </c>
      <c r="H104" s="397"/>
      <c r="I104" s="1004">
        <v>166.09</v>
      </c>
      <c r="J104" s="1008"/>
      <c r="L104" s="453"/>
      <c r="M104" s="453"/>
      <c r="N104" s="336"/>
    </row>
    <row r="105" spans="1:14" s="365" customFormat="1" ht="12">
      <c r="A105" s="336" t="s">
        <v>782</v>
      </c>
      <c r="B105" s="366"/>
      <c r="C105" s="353" t="s">
        <v>306</v>
      </c>
      <c r="D105" s="360" t="s">
        <v>291</v>
      </c>
      <c r="E105" s="353" t="s">
        <v>292</v>
      </c>
      <c r="F105" s="353" t="s">
        <v>218</v>
      </c>
      <c r="G105" s="364">
        <v>164.93</v>
      </c>
      <c r="H105" s="397"/>
      <c r="I105" s="1004">
        <v>166.09</v>
      </c>
      <c r="J105" s="1008"/>
      <c r="L105" s="453"/>
      <c r="M105" s="453"/>
      <c r="N105" s="336"/>
    </row>
    <row r="106" spans="1:14" s="365" customFormat="1" ht="12">
      <c r="A106" s="336" t="s">
        <v>783</v>
      </c>
      <c r="B106" s="366"/>
      <c r="C106" s="353" t="s">
        <v>306</v>
      </c>
      <c r="D106" s="360" t="s">
        <v>291</v>
      </c>
      <c r="E106" s="353" t="s">
        <v>293</v>
      </c>
      <c r="F106" s="353" t="s">
        <v>218</v>
      </c>
      <c r="G106" s="364">
        <v>164.93</v>
      </c>
      <c r="H106" s="397"/>
      <c r="I106" s="1004">
        <v>166.09</v>
      </c>
      <c r="J106" s="1008"/>
      <c r="L106" s="453"/>
      <c r="M106" s="453"/>
      <c r="N106" s="336"/>
    </row>
    <row r="107" spans="1:14" s="365" customFormat="1" ht="12">
      <c r="A107" s="336" t="s">
        <v>784</v>
      </c>
      <c r="B107" s="366"/>
      <c r="C107" s="353" t="s">
        <v>306</v>
      </c>
      <c r="D107" s="360" t="s">
        <v>291</v>
      </c>
      <c r="E107" s="353" t="s">
        <v>294</v>
      </c>
      <c r="F107" s="353" t="s">
        <v>218</v>
      </c>
      <c r="G107" s="364">
        <v>164.93</v>
      </c>
      <c r="H107" s="397"/>
      <c r="I107" s="1004">
        <v>166.09</v>
      </c>
      <c r="J107" s="1008"/>
      <c r="L107" s="453"/>
      <c r="M107" s="453"/>
      <c r="N107" s="336"/>
    </row>
    <row r="108" spans="1:14" s="365" customFormat="1" ht="12">
      <c r="A108" s="336" t="s">
        <v>785</v>
      </c>
      <c r="B108" s="366"/>
      <c r="C108" s="353" t="s">
        <v>306</v>
      </c>
      <c r="D108" s="360" t="s">
        <v>291</v>
      </c>
      <c r="E108" s="353" t="s">
        <v>309</v>
      </c>
      <c r="F108" s="353" t="s">
        <v>218</v>
      </c>
      <c r="G108" s="364">
        <v>164.93</v>
      </c>
      <c r="H108" s="397"/>
      <c r="I108" s="1004">
        <v>166.09</v>
      </c>
      <c r="J108" s="1008"/>
      <c r="L108" s="453"/>
      <c r="M108" s="453"/>
      <c r="N108" s="336"/>
    </row>
    <row r="109" spans="1:14" s="365" customFormat="1" ht="12">
      <c r="A109" s="336" t="s">
        <v>786</v>
      </c>
      <c r="B109" s="366" t="s">
        <v>300</v>
      </c>
      <c r="C109" s="353" t="s">
        <v>306</v>
      </c>
      <c r="D109" s="360" t="s">
        <v>301</v>
      </c>
      <c r="E109" s="368" t="s">
        <v>302</v>
      </c>
      <c r="F109" s="353" t="s">
        <v>218</v>
      </c>
      <c r="G109" s="364">
        <v>39.92</v>
      </c>
      <c r="H109" s="397"/>
      <c r="I109" s="1004">
        <v>40.200000000000003</v>
      </c>
      <c r="J109" s="1008"/>
      <c r="L109" s="453"/>
      <c r="M109" s="453"/>
      <c r="N109" s="336"/>
    </row>
    <row r="110" spans="1:14" ht="12">
      <c r="A110" s="336" t="s">
        <v>734</v>
      </c>
      <c r="B110" s="398"/>
      <c r="C110" s="399"/>
      <c r="D110" s="399"/>
      <c r="E110" s="399"/>
      <c r="F110" s="399"/>
      <c r="G110" s="400"/>
      <c r="H110" s="401"/>
      <c r="I110" s="1009"/>
      <c r="J110" s="1010"/>
      <c r="L110" s="453"/>
      <c r="M110" s="453"/>
    </row>
    <row r="111" spans="1:14" ht="12">
      <c r="A111" s="336" t="s">
        <v>787</v>
      </c>
      <c r="B111" s="352"/>
      <c r="C111" s="353" t="s">
        <v>310</v>
      </c>
      <c r="D111" s="360" t="s">
        <v>4</v>
      </c>
      <c r="E111" s="353" t="s">
        <v>311</v>
      </c>
      <c r="F111" s="353" t="s">
        <v>312</v>
      </c>
      <c r="G111" s="395"/>
      <c r="H111" s="362">
        <v>10.32</v>
      </c>
      <c r="I111" s="1004"/>
      <c r="J111" s="1008">
        <v>10.39</v>
      </c>
      <c r="L111" s="453"/>
      <c r="M111" s="453"/>
    </row>
    <row r="112" spans="1:14" ht="12">
      <c r="A112" s="336" t="s">
        <v>788</v>
      </c>
      <c r="B112" s="352"/>
      <c r="C112" s="353" t="s">
        <v>310</v>
      </c>
      <c r="D112" s="360" t="s">
        <v>4</v>
      </c>
      <c r="E112" s="353" t="s">
        <v>311</v>
      </c>
      <c r="F112" s="353" t="s">
        <v>313</v>
      </c>
      <c r="G112" s="395"/>
      <c r="H112" s="362">
        <v>10.32</v>
      </c>
      <c r="I112" s="1004"/>
      <c r="J112" s="1008">
        <v>10.39</v>
      </c>
      <c r="L112" s="453"/>
      <c r="M112" s="453"/>
    </row>
    <row r="113" spans="1:14" ht="12">
      <c r="A113" s="336" t="s">
        <v>789</v>
      </c>
      <c r="B113" s="352"/>
      <c r="C113" s="353" t="s">
        <v>310</v>
      </c>
      <c r="D113" s="360" t="s">
        <v>4</v>
      </c>
      <c r="E113" s="353" t="s">
        <v>314</v>
      </c>
      <c r="F113" s="353" t="s">
        <v>312</v>
      </c>
      <c r="G113" s="395"/>
      <c r="H113" s="362">
        <v>69.87</v>
      </c>
      <c r="I113" s="1004"/>
      <c r="J113" s="1008">
        <v>70.36</v>
      </c>
      <c r="L113" s="453"/>
      <c r="M113" s="453"/>
    </row>
    <row r="114" spans="1:14" ht="12">
      <c r="A114" s="336" t="s">
        <v>790</v>
      </c>
      <c r="B114" s="352"/>
      <c r="C114" s="353" t="s">
        <v>310</v>
      </c>
      <c r="D114" s="360" t="s">
        <v>4</v>
      </c>
      <c r="E114" s="353" t="s">
        <v>314</v>
      </c>
      <c r="F114" s="353" t="s">
        <v>313</v>
      </c>
      <c r="G114" s="395"/>
      <c r="H114" s="362">
        <v>59.65</v>
      </c>
      <c r="I114" s="1004"/>
      <c r="J114" s="1008">
        <v>60.07</v>
      </c>
      <c r="L114" s="453"/>
      <c r="M114" s="453"/>
    </row>
    <row r="115" spans="1:14" ht="12">
      <c r="A115" s="336" t="s">
        <v>791</v>
      </c>
      <c r="B115" s="352"/>
      <c r="C115" s="353" t="s">
        <v>310</v>
      </c>
      <c r="D115" s="360" t="s">
        <v>4</v>
      </c>
      <c r="E115" s="353" t="s">
        <v>315</v>
      </c>
      <c r="F115" s="353" t="s">
        <v>312</v>
      </c>
      <c r="G115" s="395"/>
      <c r="H115" s="362">
        <v>561.9</v>
      </c>
      <c r="I115" s="1004"/>
      <c r="J115" s="1008">
        <v>565.84</v>
      </c>
      <c r="L115" s="453"/>
      <c r="M115" s="453"/>
    </row>
    <row r="116" spans="1:14" ht="12">
      <c r="A116" s="336" t="s">
        <v>792</v>
      </c>
      <c r="B116" s="352"/>
      <c r="C116" s="353" t="s">
        <v>310</v>
      </c>
      <c r="D116" s="360" t="s">
        <v>4</v>
      </c>
      <c r="E116" s="353" t="s">
        <v>315</v>
      </c>
      <c r="F116" s="353" t="s">
        <v>313</v>
      </c>
      <c r="G116" s="395"/>
      <c r="H116" s="362">
        <v>468.63</v>
      </c>
      <c r="I116" s="1004"/>
      <c r="J116" s="1008">
        <v>471.91</v>
      </c>
      <c r="L116" s="453"/>
      <c r="M116" s="453"/>
    </row>
    <row r="117" spans="1:14" ht="12">
      <c r="A117" s="336" t="s">
        <v>793</v>
      </c>
      <c r="B117" s="352"/>
      <c r="C117" s="353" t="s">
        <v>310</v>
      </c>
      <c r="D117" s="360" t="s">
        <v>4</v>
      </c>
      <c r="E117" s="353" t="s">
        <v>316</v>
      </c>
      <c r="F117" s="353" t="s">
        <v>312</v>
      </c>
      <c r="G117" s="395"/>
      <c r="H117" s="362">
        <v>4157.62</v>
      </c>
      <c r="I117" s="1004"/>
      <c r="J117" s="1008">
        <v>4186.75</v>
      </c>
      <c r="L117" s="453"/>
      <c r="M117" s="453"/>
    </row>
    <row r="118" spans="1:14" ht="12">
      <c r="A118" s="336" t="s">
        <v>794</v>
      </c>
      <c r="B118" s="352"/>
      <c r="C118" s="353" t="s">
        <v>310</v>
      </c>
      <c r="D118" s="360" t="s">
        <v>4</v>
      </c>
      <c r="E118" s="353" t="s">
        <v>316</v>
      </c>
      <c r="F118" s="353" t="s">
        <v>313</v>
      </c>
      <c r="G118" s="395"/>
      <c r="H118" s="362">
        <v>3326.98</v>
      </c>
      <c r="I118" s="1004"/>
      <c r="J118" s="1008">
        <v>3350.29</v>
      </c>
      <c r="L118" s="453"/>
      <c r="M118" s="453"/>
    </row>
    <row r="119" spans="1:14" ht="12">
      <c r="A119" s="336" t="s">
        <v>795</v>
      </c>
      <c r="B119" s="352"/>
      <c r="C119" s="353" t="s">
        <v>310</v>
      </c>
      <c r="D119" s="360" t="s">
        <v>4</v>
      </c>
      <c r="E119" s="353" t="s">
        <v>317</v>
      </c>
      <c r="F119" s="353" t="s">
        <v>312</v>
      </c>
      <c r="G119" s="395"/>
      <c r="H119" s="362">
        <v>59.65</v>
      </c>
      <c r="I119" s="1004"/>
      <c r="J119" s="1008">
        <v>60.07</v>
      </c>
      <c r="L119" s="453"/>
      <c r="M119" s="453"/>
    </row>
    <row r="120" spans="1:14" ht="12">
      <c r="A120" s="336" t="s">
        <v>796</v>
      </c>
      <c r="B120" s="352"/>
      <c r="C120" s="353" t="s">
        <v>310</v>
      </c>
      <c r="D120" s="360" t="s">
        <v>4</v>
      </c>
      <c r="E120" s="353" t="s">
        <v>317</v>
      </c>
      <c r="F120" s="353" t="s">
        <v>313</v>
      </c>
      <c r="G120" s="395"/>
      <c r="H120" s="362">
        <v>59.65</v>
      </c>
      <c r="I120" s="1004"/>
      <c r="J120" s="1008">
        <v>60.07</v>
      </c>
      <c r="L120" s="453"/>
      <c r="M120" s="453"/>
    </row>
    <row r="121" spans="1:14" ht="12">
      <c r="A121" s="336" t="s">
        <v>797</v>
      </c>
      <c r="B121" s="352"/>
      <c r="C121" s="353" t="s">
        <v>310</v>
      </c>
      <c r="D121" s="360" t="s">
        <v>4</v>
      </c>
      <c r="E121" s="353" t="s">
        <v>318</v>
      </c>
      <c r="F121" s="353" t="s">
        <v>312</v>
      </c>
      <c r="G121" s="395"/>
      <c r="H121" s="362">
        <v>468.63</v>
      </c>
      <c r="I121" s="1004"/>
      <c r="J121" s="1008">
        <v>471.91</v>
      </c>
      <c r="L121" s="453"/>
      <c r="M121" s="453"/>
    </row>
    <row r="122" spans="1:14" ht="12">
      <c r="A122" s="336" t="s">
        <v>798</v>
      </c>
      <c r="B122" s="352"/>
      <c r="C122" s="353" t="s">
        <v>310</v>
      </c>
      <c r="D122" s="360" t="s">
        <v>4</v>
      </c>
      <c r="E122" s="353" t="s">
        <v>318</v>
      </c>
      <c r="F122" s="353" t="s">
        <v>313</v>
      </c>
      <c r="G122" s="395"/>
      <c r="H122" s="362">
        <v>468.63</v>
      </c>
      <c r="I122" s="1004"/>
      <c r="J122" s="1008">
        <v>471.91</v>
      </c>
      <c r="L122" s="453"/>
      <c r="M122" s="453"/>
    </row>
    <row r="123" spans="1:14" ht="12">
      <c r="A123" s="336" t="s">
        <v>799</v>
      </c>
      <c r="B123" s="352"/>
      <c r="C123" s="353" t="s">
        <v>310</v>
      </c>
      <c r="D123" s="360" t="s">
        <v>4</v>
      </c>
      <c r="E123" s="353" t="s">
        <v>319</v>
      </c>
      <c r="F123" s="353" t="s">
        <v>312</v>
      </c>
      <c r="G123" s="395"/>
      <c r="H123" s="362">
        <v>3326.98</v>
      </c>
      <c r="I123" s="1004"/>
      <c r="J123" s="1008">
        <v>3350.29</v>
      </c>
      <c r="L123" s="453"/>
      <c r="M123" s="453"/>
    </row>
    <row r="124" spans="1:14" ht="12">
      <c r="A124" s="336" t="s">
        <v>800</v>
      </c>
      <c r="B124" s="352"/>
      <c r="C124" s="353" t="s">
        <v>310</v>
      </c>
      <c r="D124" s="360" t="s">
        <v>4</v>
      </c>
      <c r="E124" s="353" t="s">
        <v>320</v>
      </c>
      <c r="F124" s="353" t="s">
        <v>313</v>
      </c>
      <c r="G124" s="395"/>
      <c r="H124" s="362">
        <v>3326.98</v>
      </c>
      <c r="I124" s="1004"/>
      <c r="J124" s="1008">
        <v>3350.29</v>
      </c>
      <c r="L124" s="453"/>
      <c r="M124" s="453"/>
    </row>
    <row r="125" spans="1:14" s="402" customFormat="1" ht="12">
      <c r="A125" s="336" t="s">
        <v>801</v>
      </c>
      <c r="B125" s="352"/>
      <c r="C125" s="353" t="s">
        <v>310</v>
      </c>
      <c r="D125" s="360" t="s">
        <v>321</v>
      </c>
      <c r="E125" s="353">
        <v>10</v>
      </c>
      <c r="F125" s="353" t="s">
        <v>312</v>
      </c>
      <c r="G125" s="395">
        <v>164.93</v>
      </c>
      <c r="H125" s="362"/>
      <c r="I125" s="1004">
        <v>166.09</v>
      </c>
      <c r="J125" s="1008"/>
      <c r="L125" s="453"/>
      <c r="M125" s="453"/>
      <c r="N125" s="336"/>
    </row>
    <row r="126" spans="1:14" s="402" customFormat="1" ht="12">
      <c r="A126" s="336" t="s">
        <v>802</v>
      </c>
      <c r="B126" s="352"/>
      <c r="C126" s="353" t="s">
        <v>310</v>
      </c>
      <c r="D126" s="360" t="s">
        <v>321</v>
      </c>
      <c r="E126" s="353">
        <v>10</v>
      </c>
      <c r="F126" s="353" t="s">
        <v>313</v>
      </c>
      <c r="G126" s="395"/>
      <c r="H126" s="362"/>
      <c r="I126" s="1004"/>
      <c r="J126" s="1008"/>
      <c r="L126" s="453"/>
      <c r="M126" s="453"/>
      <c r="N126" s="336"/>
    </row>
    <row r="127" spans="1:14" ht="12">
      <c r="A127" s="336" t="s">
        <v>803</v>
      </c>
      <c r="B127" s="352"/>
      <c r="C127" s="353" t="s">
        <v>310</v>
      </c>
      <c r="D127" s="360" t="s">
        <v>321</v>
      </c>
      <c r="E127" s="353">
        <v>100</v>
      </c>
      <c r="F127" s="353" t="s">
        <v>312</v>
      </c>
      <c r="G127" s="395">
        <v>164.93</v>
      </c>
      <c r="H127" s="362"/>
      <c r="I127" s="1004">
        <v>166.09</v>
      </c>
      <c r="J127" s="1008"/>
      <c r="L127" s="453"/>
      <c r="M127" s="453"/>
    </row>
    <row r="128" spans="1:14" ht="12">
      <c r="A128" s="336" t="s">
        <v>804</v>
      </c>
      <c r="B128" s="352"/>
      <c r="C128" s="353" t="s">
        <v>310</v>
      </c>
      <c r="D128" s="360" t="s">
        <v>321</v>
      </c>
      <c r="E128" s="353">
        <v>100</v>
      </c>
      <c r="F128" s="353" t="s">
        <v>313</v>
      </c>
      <c r="G128" s="364"/>
      <c r="H128" s="397"/>
      <c r="I128" s="1004"/>
      <c r="J128" s="1008"/>
      <c r="L128" s="453"/>
      <c r="M128" s="453"/>
    </row>
    <row r="129" spans="1:13" ht="12">
      <c r="A129" s="336" t="s">
        <v>805</v>
      </c>
      <c r="B129" s="352"/>
      <c r="C129" s="353" t="s">
        <v>310</v>
      </c>
      <c r="D129" s="360" t="s">
        <v>321</v>
      </c>
      <c r="E129" s="353">
        <v>1000</v>
      </c>
      <c r="F129" s="353" t="s">
        <v>312</v>
      </c>
      <c r="G129" s="364">
        <v>164.93</v>
      </c>
      <c r="H129" s="397"/>
      <c r="I129" s="1004">
        <v>166.09</v>
      </c>
      <c r="J129" s="1008"/>
      <c r="L129" s="453"/>
      <c r="M129" s="453"/>
    </row>
    <row r="130" spans="1:13" ht="12">
      <c r="A130" s="336" t="s">
        <v>806</v>
      </c>
      <c r="B130" s="352"/>
      <c r="C130" s="353" t="s">
        <v>310</v>
      </c>
      <c r="D130" s="360" t="s">
        <v>321</v>
      </c>
      <c r="E130" s="353">
        <v>1000</v>
      </c>
      <c r="F130" s="353" t="s">
        <v>313</v>
      </c>
      <c r="G130" s="364"/>
      <c r="H130" s="397"/>
      <c r="I130" s="1004"/>
      <c r="J130" s="1008"/>
      <c r="L130" s="453"/>
      <c r="M130" s="453"/>
    </row>
    <row r="131" spans="1:13" ht="12">
      <c r="A131" s="336" t="s">
        <v>807</v>
      </c>
      <c r="B131" s="352"/>
      <c r="C131" s="353" t="s">
        <v>310</v>
      </c>
      <c r="D131" s="360" t="s">
        <v>321</v>
      </c>
      <c r="E131" s="353">
        <v>10000</v>
      </c>
      <c r="F131" s="353" t="s">
        <v>312</v>
      </c>
      <c r="G131" s="364">
        <v>164.93</v>
      </c>
      <c r="H131" s="397"/>
      <c r="I131" s="1004">
        <v>166.09</v>
      </c>
      <c r="J131" s="1008"/>
      <c r="L131" s="453"/>
      <c r="M131" s="453"/>
    </row>
    <row r="132" spans="1:13" ht="12">
      <c r="A132" s="336" t="s">
        <v>808</v>
      </c>
      <c r="B132" s="352"/>
      <c r="C132" s="353" t="s">
        <v>310</v>
      </c>
      <c r="D132" s="360" t="s">
        <v>321</v>
      </c>
      <c r="E132" s="353">
        <v>10000</v>
      </c>
      <c r="F132" s="353" t="s">
        <v>313</v>
      </c>
      <c r="G132" s="364"/>
      <c r="H132" s="397"/>
      <c r="I132" s="1004"/>
      <c r="J132" s="1008"/>
      <c r="L132" s="453"/>
      <c r="M132" s="453"/>
    </row>
    <row r="133" spans="1:13" ht="12">
      <c r="A133" s="336" t="s">
        <v>809</v>
      </c>
      <c r="B133" s="352"/>
      <c r="C133" s="353" t="s">
        <v>310</v>
      </c>
      <c r="D133" s="360" t="s">
        <v>322</v>
      </c>
      <c r="E133" s="353">
        <v>100</v>
      </c>
      <c r="F133" s="353" t="s">
        <v>312</v>
      </c>
      <c r="G133" s="364"/>
      <c r="H133" s="397"/>
      <c r="I133" s="1004"/>
      <c r="J133" s="1008"/>
      <c r="L133" s="453"/>
      <c r="M133" s="453"/>
    </row>
    <row r="134" spans="1:13" ht="12">
      <c r="A134" s="336" t="s">
        <v>810</v>
      </c>
      <c r="B134" s="352"/>
      <c r="C134" s="353" t="s">
        <v>310</v>
      </c>
      <c r="D134" s="360" t="s">
        <v>322</v>
      </c>
      <c r="E134" s="353">
        <v>100</v>
      </c>
      <c r="F134" s="353" t="s">
        <v>313</v>
      </c>
      <c r="G134" s="364"/>
      <c r="H134" s="397"/>
      <c r="I134" s="1004"/>
      <c r="J134" s="1008"/>
      <c r="L134" s="453"/>
      <c r="M134" s="453"/>
    </row>
    <row r="135" spans="1:13" ht="12">
      <c r="A135" s="336" t="s">
        <v>811</v>
      </c>
      <c r="B135" s="352"/>
      <c r="C135" s="353" t="s">
        <v>310</v>
      </c>
      <c r="D135" s="360" t="s">
        <v>322</v>
      </c>
      <c r="E135" s="353">
        <v>1000</v>
      </c>
      <c r="F135" s="353" t="s">
        <v>312</v>
      </c>
      <c r="G135" s="364"/>
      <c r="H135" s="397"/>
      <c r="I135" s="1004"/>
      <c r="J135" s="1008"/>
      <c r="L135" s="453"/>
      <c r="M135" s="453"/>
    </row>
    <row r="136" spans="1:13" ht="12">
      <c r="A136" s="336" t="s">
        <v>812</v>
      </c>
      <c r="B136" s="352"/>
      <c r="C136" s="353" t="s">
        <v>310</v>
      </c>
      <c r="D136" s="360" t="s">
        <v>322</v>
      </c>
      <c r="E136" s="353">
        <v>1000</v>
      </c>
      <c r="F136" s="353" t="s">
        <v>313</v>
      </c>
      <c r="G136" s="364"/>
      <c r="H136" s="397"/>
      <c r="I136" s="1004"/>
      <c r="J136" s="1008"/>
      <c r="L136" s="453"/>
      <c r="M136" s="453"/>
    </row>
    <row r="137" spans="1:13" ht="12">
      <c r="A137" s="336" t="s">
        <v>813</v>
      </c>
      <c r="B137" s="352"/>
      <c r="C137" s="353" t="s">
        <v>310</v>
      </c>
      <c r="D137" s="360" t="s">
        <v>322</v>
      </c>
      <c r="E137" s="353">
        <v>10000</v>
      </c>
      <c r="F137" s="353" t="s">
        <v>312</v>
      </c>
      <c r="G137" s="364"/>
      <c r="H137" s="397"/>
      <c r="I137" s="1004"/>
      <c r="J137" s="1008"/>
      <c r="L137" s="453"/>
      <c r="M137" s="453"/>
    </row>
    <row r="138" spans="1:13" ht="12.6" thickBot="1">
      <c r="A138" s="336" t="s">
        <v>814</v>
      </c>
      <c r="B138" s="403"/>
      <c r="C138" s="404" t="s">
        <v>310</v>
      </c>
      <c r="D138" s="378" t="s">
        <v>322</v>
      </c>
      <c r="E138" s="404">
        <v>10000</v>
      </c>
      <c r="F138" s="404" t="s">
        <v>313</v>
      </c>
      <c r="G138" s="405"/>
      <c r="H138" s="406"/>
      <c r="I138" s="1006"/>
      <c r="J138" s="1011"/>
      <c r="L138" s="453"/>
      <c r="M138" s="453"/>
    </row>
    <row r="139" spans="1:13">
      <c r="A139" s="336" t="s">
        <v>323</v>
      </c>
      <c r="C139" s="335" t="s">
        <v>323</v>
      </c>
      <c r="F139" s="356"/>
    </row>
    <row r="140" spans="1:13">
      <c r="A140" s="336" t="s">
        <v>324</v>
      </c>
      <c r="C140" s="335" t="s">
        <v>324</v>
      </c>
    </row>
    <row r="141" spans="1:13">
      <c r="A141" s="336" t="s">
        <v>325</v>
      </c>
      <c r="C141" s="335" t="s">
        <v>325</v>
      </c>
      <c r="F141" s="356"/>
    </row>
    <row r="142" spans="1:13">
      <c r="A142" s="336" t="s">
        <v>326</v>
      </c>
      <c r="C142" s="356" t="s">
        <v>326</v>
      </c>
      <c r="F142" s="356"/>
    </row>
    <row r="143" spans="1:13" ht="12" thickBot="1">
      <c r="A143" s="336" t="s">
        <v>734</v>
      </c>
      <c r="B143" s="408"/>
      <c r="G143" s="408"/>
      <c r="H143" s="408"/>
    </row>
    <row r="144" spans="1:13" ht="12.6" thickBot="1">
      <c r="A144" s="336" t="s">
        <v>327</v>
      </c>
      <c r="B144" s="385"/>
      <c r="C144" s="409" t="s">
        <v>327</v>
      </c>
      <c r="D144" s="344"/>
      <c r="E144" s="387"/>
      <c r="F144" s="387"/>
      <c r="G144" s="1046" t="s">
        <v>328</v>
      </c>
      <c r="H144" s="1047"/>
      <c r="I144" s="456" t="s">
        <v>282</v>
      </c>
      <c r="J144" s="455"/>
    </row>
    <row r="145" spans="1:13" ht="12">
      <c r="A145" s="336" t="s">
        <v>758</v>
      </c>
      <c r="B145" s="389" t="s">
        <v>283</v>
      </c>
      <c r="C145" s="391" t="s">
        <v>211</v>
      </c>
      <c r="D145" s="391" t="s">
        <v>212</v>
      </c>
      <c r="E145" s="390" t="s">
        <v>213</v>
      </c>
      <c r="F145" s="390" t="s">
        <v>214</v>
      </c>
      <c r="G145" s="390" t="s">
        <v>127</v>
      </c>
      <c r="H145" s="390" t="s">
        <v>215</v>
      </c>
      <c r="I145" s="410" t="s">
        <v>127</v>
      </c>
      <c r="J145" s="351" t="s">
        <v>215</v>
      </c>
    </row>
    <row r="146" spans="1:13" ht="12">
      <c r="A146" s="336" t="s">
        <v>580</v>
      </c>
      <c r="B146" s="352" t="s">
        <v>284</v>
      </c>
      <c r="C146" s="360" t="s">
        <v>285</v>
      </c>
      <c r="D146" s="360" t="s">
        <v>4</v>
      </c>
      <c r="E146" s="353"/>
      <c r="F146" s="353" t="s">
        <v>299</v>
      </c>
      <c r="G146" s="411"/>
      <c r="H146" s="364">
        <v>1.96</v>
      </c>
      <c r="I146" s="1004"/>
      <c r="J146" s="1005">
        <v>1.97</v>
      </c>
      <c r="L146" s="453"/>
      <c r="M146" s="453"/>
    </row>
    <row r="147" spans="1:13" ht="12">
      <c r="A147" s="336" t="s">
        <v>581</v>
      </c>
      <c r="B147" s="352" t="s">
        <v>329</v>
      </c>
      <c r="C147" s="360" t="s">
        <v>285</v>
      </c>
      <c r="D147" s="360" t="s">
        <v>217</v>
      </c>
      <c r="E147" s="353"/>
      <c r="F147" s="353" t="s">
        <v>299</v>
      </c>
      <c r="G147" s="364">
        <v>16.09</v>
      </c>
      <c r="H147" s="411"/>
      <c r="I147" s="1004">
        <v>16.21</v>
      </c>
      <c r="J147" s="1005"/>
      <c r="L147" s="453"/>
      <c r="M147" s="453"/>
    </row>
    <row r="148" spans="1:13" ht="12">
      <c r="A148" s="336" t="s">
        <v>815</v>
      </c>
      <c r="B148" s="352"/>
      <c r="C148" s="360" t="s">
        <v>285</v>
      </c>
      <c r="D148" s="360" t="s">
        <v>290</v>
      </c>
      <c r="E148" s="353"/>
      <c r="F148" s="353" t="s">
        <v>299</v>
      </c>
      <c r="G148" s="364"/>
      <c r="H148" s="411"/>
      <c r="I148" s="1004"/>
      <c r="J148" s="1005"/>
      <c r="L148" s="453"/>
      <c r="M148" s="453"/>
    </row>
    <row r="149" spans="1:13" ht="12">
      <c r="A149" s="336" t="s">
        <v>816</v>
      </c>
      <c r="B149" s="352"/>
      <c r="C149" s="360" t="s">
        <v>285</v>
      </c>
      <c r="D149" s="360" t="s">
        <v>291</v>
      </c>
      <c r="E149" s="353" t="s">
        <v>330</v>
      </c>
      <c r="F149" s="353" t="s">
        <v>299</v>
      </c>
      <c r="G149" s="364">
        <v>16.09</v>
      </c>
      <c r="H149" s="411"/>
      <c r="I149" s="1004">
        <v>16.21</v>
      </c>
      <c r="J149" s="1005"/>
      <c r="L149" s="453"/>
      <c r="M149" s="453"/>
    </row>
    <row r="150" spans="1:13" ht="12">
      <c r="A150" s="336" t="s">
        <v>817</v>
      </c>
      <c r="B150" s="352"/>
      <c r="C150" s="360" t="s">
        <v>285</v>
      </c>
      <c r="D150" s="360" t="s">
        <v>291</v>
      </c>
      <c r="E150" s="353" t="s">
        <v>331</v>
      </c>
      <c r="F150" s="353" t="s">
        <v>299</v>
      </c>
      <c r="G150" s="364">
        <v>16.09</v>
      </c>
      <c r="H150" s="411"/>
      <c r="I150" s="1004">
        <v>16.21</v>
      </c>
      <c r="J150" s="1005"/>
      <c r="L150" s="453"/>
      <c r="M150" s="453"/>
    </row>
    <row r="151" spans="1:13" ht="12">
      <c r="A151" s="336" t="s">
        <v>818</v>
      </c>
      <c r="B151" s="352"/>
      <c r="C151" s="360" t="s">
        <v>285</v>
      </c>
      <c r="D151" s="360" t="s">
        <v>291</v>
      </c>
      <c r="E151" s="353" t="s">
        <v>294</v>
      </c>
      <c r="F151" s="353" t="s">
        <v>299</v>
      </c>
      <c r="G151" s="364">
        <v>16.09</v>
      </c>
      <c r="H151" s="411"/>
      <c r="I151" s="1004">
        <v>16.21</v>
      </c>
      <c r="J151" s="1005"/>
      <c r="L151" s="453"/>
      <c r="M151" s="453"/>
    </row>
    <row r="152" spans="1:13" ht="12">
      <c r="A152" s="336" t="s">
        <v>819</v>
      </c>
      <c r="B152" s="352"/>
      <c r="C152" s="360" t="s">
        <v>285</v>
      </c>
      <c r="D152" s="360" t="s">
        <v>291</v>
      </c>
      <c r="E152" s="353" t="s">
        <v>295</v>
      </c>
      <c r="F152" s="353" t="s">
        <v>299</v>
      </c>
      <c r="G152" s="364">
        <v>16.09</v>
      </c>
      <c r="H152" s="411"/>
      <c r="I152" s="1004">
        <v>16.21</v>
      </c>
      <c r="J152" s="1005"/>
      <c r="L152" s="453"/>
      <c r="M152" s="453"/>
    </row>
    <row r="153" spans="1:13" ht="12">
      <c r="A153" s="336" t="s">
        <v>820</v>
      </c>
      <c r="B153" s="352"/>
      <c r="C153" s="360" t="s">
        <v>285</v>
      </c>
      <c r="D153" s="360" t="s">
        <v>291</v>
      </c>
      <c r="E153" s="353" t="s">
        <v>296</v>
      </c>
      <c r="F153" s="353" t="s">
        <v>299</v>
      </c>
      <c r="G153" s="364">
        <v>16.09</v>
      </c>
      <c r="H153" s="411"/>
      <c r="I153" s="1004">
        <v>16.21</v>
      </c>
      <c r="J153" s="1005"/>
      <c r="L153" s="453"/>
      <c r="M153" s="453"/>
    </row>
    <row r="154" spans="1:13" ht="12">
      <c r="A154" s="336" t="s">
        <v>821</v>
      </c>
      <c r="B154" s="352"/>
      <c r="C154" s="360" t="s">
        <v>285</v>
      </c>
      <c r="D154" s="360" t="s">
        <v>291</v>
      </c>
      <c r="E154" s="353" t="s">
        <v>297</v>
      </c>
      <c r="F154" s="353" t="s">
        <v>299</v>
      </c>
      <c r="G154" s="364">
        <v>16.09</v>
      </c>
      <c r="H154" s="411"/>
      <c r="I154" s="1004">
        <v>16.21</v>
      </c>
      <c r="J154" s="1005"/>
      <c r="L154" s="453"/>
      <c r="M154" s="453"/>
    </row>
    <row r="155" spans="1:13">
      <c r="A155" s="336" t="s">
        <v>734</v>
      </c>
      <c r="B155" s="398"/>
      <c r="C155" s="399"/>
      <c r="D155" s="399"/>
      <c r="E155" s="399"/>
      <c r="F155" s="399"/>
      <c r="G155" s="399"/>
      <c r="H155" s="399"/>
      <c r="I155" s="1012"/>
      <c r="J155" s="1013"/>
      <c r="L155" s="453"/>
      <c r="M155" s="453"/>
    </row>
    <row r="156" spans="1:13" ht="12">
      <c r="A156" s="336" t="s">
        <v>573</v>
      </c>
      <c r="B156" s="352" t="s">
        <v>284</v>
      </c>
      <c r="C156" s="360" t="s">
        <v>306</v>
      </c>
      <c r="D156" s="360" t="s">
        <v>4</v>
      </c>
      <c r="E156" s="353"/>
      <c r="F156" s="353" t="s">
        <v>299</v>
      </c>
      <c r="G156" s="412"/>
      <c r="H156" s="364">
        <v>9.73</v>
      </c>
      <c r="I156" s="1004"/>
      <c r="J156" s="1005">
        <v>9.8000000000000007</v>
      </c>
      <c r="L156" s="453"/>
      <c r="M156" s="453"/>
    </row>
    <row r="157" spans="1:13" ht="12">
      <c r="A157" s="336" t="s">
        <v>574</v>
      </c>
      <c r="B157" s="352" t="s">
        <v>329</v>
      </c>
      <c r="C157" s="360" t="s">
        <v>306</v>
      </c>
      <c r="D157" s="360" t="s">
        <v>217</v>
      </c>
      <c r="E157" s="353"/>
      <c r="F157" s="353" t="s">
        <v>299</v>
      </c>
      <c r="G157" s="364">
        <v>16.09</v>
      </c>
      <c r="H157" s="412"/>
      <c r="I157" s="1004">
        <v>16.21</v>
      </c>
      <c r="J157" s="1005"/>
      <c r="L157" s="453"/>
      <c r="M157" s="453"/>
    </row>
    <row r="158" spans="1:13" ht="12">
      <c r="A158" s="336" t="s">
        <v>822</v>
      </c>
      <c r="B158" s="352"/>
      <c r="C158" s="360" t="s">
        <v>306</v>
      </c>
      <c r="D158" s="360" t="s">
        <v>290</v>
      </c>
      <c r="E158" s="353"/>
      <c r="F158" s="353" t="s">
        <v>299</v>
      </c>
      <c r="G158" s="364"/>
      <c r="H158" s="412"/>
      <c r="I158" s="1004"/>
      <c r="J158" s="1005"/>
      <c r="L158" s="453"/>
      <c r="M158" s="453"/>
    </row>
    <row r="159" spans="1:13" ht="12">
      <c r="A159" s="336" t="s">
        <v>823</v>
      </c>
      <c r="B159" s="352"/>
      <c r="C159" s="360" t="s">
        <v>306</v>
      </c>
      <c r="D159" s="360" t="s">
        <v>291</v>
      </c>
      <c r="E159" s="353" t="s">
        <v>330</v>
      </c>
      <c r="F159" s="353" t="s">
        <v>299</v>
      </c>
      <c r="G159" s="364">
        <v>16.09</v>
      </c>
      <c r="H159" s="412"/>
      <c r="I159" s="1004">
        <v>16.21</v>
      </c>
      <c r="J159" s="1005"/>
      <c r="L159" s="453"/>
      <c r="M159" s="453"/>
    </row>
    <row r="160" spans="1:13" ht="12">
      <c r="A160" s="336" t="s">
        <v>824</v>
      </c>
      <c r="B160" s="352"/>
      <c r="C160" s="360" t="s">
        <v>306</v>
      </c>
      <c r="D160" s="360" t="s">
        <v>291</v>
      </c>
      <c r="E160" s="353" t="s">
        <v>331</v>
      </c>
      <c r="F160" s="353" t="s">
        <v>299</v>
      </c>
      <c r="G160" s="364">
        <v>16.09</v>
      </c>
      <c r="H160" s="412"/>
      <c r="I160" s="1004">
        <v>16.21</v>
      </c>
      <c r="J160" s="1005"/>
      <c r="L160" s="453"/>
      <c r="M160" s="453"/>
    </row>
    <row r="161" spans="1:13" ht="12">
      <c r="A161" s="336" t="s">
        <v>825</v>
      </c>
      <c r="B161" s="352"/>
      <c r="C161" s="360" t="s">
        <v>306</v>
      </c>
      <c r="D161" s="360" t="s">
        <v>291</v>
      </c>
      <c r="E161" s="353" t="s">
        <v>294</v>
      </c>
      <c r="F161" s="353" t="s">
        <v>299</v>
      </c>
      <c r="G161" s="364">
        <v>16.09</v>
      </c>
      <c r="H161" s="412"/>
      <c r="I161" s="1004">
        <v>16.21</v>
      </c>
      <c r="J161" s="1005"/>
      <c r="L161" s="453"/>
      <c r="M161" s="453"/>
    </row>
    <row r="162" spans="1:13" ht="12">
      <c r="A162" s="336" t="s">
        <v>826</v>
      </c>
      <c r="B162" s="352"/>
      <c r="C162" s="360" t="s">
        <v>306</v>
      </c>
      <c r="D162" s="360" t="s">
        <v>291</v>
      </c>
      <c r="E162" s="353" t="s">
        <v>295</v>
      </c>
      <c r="F162" s="353" t="s">
        <v>299</v>
      </c>
      <c r="G162" s="364">
        <v>16.09</v>
      </c>
      <c r="H162" s="412"/>
      <c r="I162" s="1004">
        <v>16.21</v>
      </c>
      <c r="J162" s="1005"/>
      <c r="L162" s="453"/>
      <c r="M162" s="453"/>
    </row>
    <row r="163" spans="1:13" ht="12">
      <c r="A163" s="336" t="s">
        <v>734</v>
      </c>
      <c r="B163" s="398"/>
      <c r="C163" s="399"/>
      <c r="D163" s="399"/>
      <c r="E163" s="399"/>
      <c r="F163" s="399"/>
      <c r="G163" s="400"/>
      <c r="H163" s="400"/>
      <c r="I163" s="1009"/>
      <c r="J163" s="1010"/>
      <c r="L163" s="453"/>
      <c r="M163" s="453"/>
    </row>
    <row r="164" spans="1:13" ht="12">
      <c r="A164" s="336" t="s">
        <v>555</v>
      </c>
      <c r="B164" s="352"/>
      <c r="C164" s="360" t="s">
        <v>332</v>
      </c>
      <c r="D164" s="360" t="s">
        <v>4</v>
      </c>
      <c r="E164" s="353" t="s">
        <v>311</v>
      </c>
      <c r="F164" s="353" t="s">
        <v>312</v>
      </c>
      <c r="G164" s="411"/>
      <c r="H164" s="364">
        <v>10.32</v>
      </c>
      <c r="I164" s="1004"/>
      <c r="J164" s="1005">
        <v>10.39</v>
      </c>
      <c r="L164" s="453"/>
      <c r="M164" s="453"/>
    </row>
    <row r="165" spans="1:13" ht="12">
      <c r="A165" s="336" t="s">
        <v>558</v>
      </c>
      <c r="B165" s="352"/>
      <c r="C165" s="360" t="s">
        <v>332</v>
      </c>
      <c r="D165" s="360" t="s">
        <v>4</v>
      </c>
      <c r="E165" s="353" t="s">
        <v>311</v>
      </c>
      <c r="F165" s="353" t="s">
        <v>313</v>
      </c>
      <c r="G165" s="411"/>
      <c r="H165" s="364">
        <v>10.32</v>
      </c>
      <c r="I165" s="1004"/>
      <c r="J165" s="1005">
        <v>10.39</v>
      </c>
      <c r="L165" s="453"/>
      <c r="M165" s="453"/>
    </row>
    <row r="166" spans="1:13" ht="12">
      <c r="A166" s="336" t="s">
        <v>556</v>
      </c>
      <c r="B166" s="352"/>
      <c r="C166" s="360" t="s">
        <v>332</v>
      </c>
      <c r="D166" s="360" t="s">
        <v>4</v>
      </c>
      <c r="E166" s="353" t="s">
        <v>314</v>
      </c>
      <c r="F166" s="353" t="s">
        <v>312</v>
      </c>
      <c r="G166" s="411"/>
      <c r="H166" s="364">
        <v>62.5</v>
      </c>
      <c r="I166" s="1004"/>
      <c r="J166" s="1005">
        <v>62.94</v>
      </c>
      <c r="L166" s="453"/>
      <c r="M166" s="453"/>
    </row>
    <row r="167" spans="1:13" ht="12">
      <c r="A167" s="336" t="s">
        <v>559</v>
      </c>
      <c r="B167" s="352"/>
      <c r="C167" s="360" t="s">
        <v>332</v>
      </c>
      <c r="D167" s="360" t="s">
        <v>4</v>
      </c>
      <c r="E167" s="353" t="s">
        <v>314</v>
      </c>
      <c r="F167" s="353" t="s">
        <v>313</v>
      </c>
      <c r="G167" s="411"/>
      <c r="H167" s="364">
        <v>62.5</v>
      </c>
      <c r="I167" s="1004"/>
      <c r="J167" s="1005">
        <v>62.94</v>
      </c>
      <c r="L167" s="453"/>
      <c r="M167" s="453"/>
    </row>
    <row r="168" spans="1:13" ht="12">
      <c r="A168" s="336" t="s">
        <v>557</v>
      </c>
      <c r="B168" s="352"/>
      <c r="C168" s="360" t="s">
        <v>332</v>
      </c>
      <c r="D168" s="360" t="s">
        <v>4</v>
      </c>
      <c r="E168" s="353" t="s">
        <v>315</v>
      </c>
      <c r="F168" s="353" t="s">
        <v>312</v>
      </c>
      <c r="G168" s="411"/>
      <c r="H168" s="364">
        <v>491</v>
      </c>
      <c r="I168" s="1004"/>
      <c r="J168" s="1005">
        <v>494.44</v>
      </c>
      <c r="L168" s="453"/>
      <c r="M168" s="453"/>
    </row>
    <row r="169" spans="1:13" ht="12">
      <c r="A169" s="336" t="s">
        <v>560</v>
      </c>
      <c r="B169" s="352"/>
      <c r="C169" s="360" t="s">
        <v>332</v>
      </c>
      <c r="D169" s="360" t="s">
        <v>4</v>
      </c>
      <c r="E169" s="353" t="s">
        <v>315</v>
      </c>
      <c r="F169" s="353" t="s">
        <v>313</v>
      </c>
      <c r="G169" s="411"/>
      <c r="H169" s="364">
        <v>491</v>
      </c>
      <c r="I169" s="1004"/>
      <c r="J169" s="1005">
        <v>494.44</v>
      </c>
      <c r="L169" s="453"/>
      <c r="M169" s="453"/>
    </row>
    <row r="170" spans="1:13" ht="12">
      <c r="A170" s="336" t="s">
        <v>657</v>
      </c>
      <c r="B170" s="352"/>
      <c r="C170" s="360" t="s">
        <v>332</v>
      </c>
      <c r="D170" s="360" t="s">
        <v>4</v>
      </c>
      <c r="E170" s="353" t="s">
        <v>316</v>
      </c>
      <c r="F170" s="353" t="s">
        <v>312</v>
      </c>
      <c r="G170" s="411"/>
      <c r="H170" s="364">
        <v>3485.85</v>
      </c>
      <c r="I170" s="1004"/>
      <c r="J170" s="1005">
        <v>3510.28</v>
      </c>
      <c r="L170" s="453"/>
      <c r="M170" s="453"/>
    </row>
    <row r="171" spans="1:13" ht="12">
      <c r="A171" s="336" t="s">
        <v>687</v>
      </c>
      <c r="B171" s="352"/>
      <c r="C171" s="360" t="s">
        <v>332</v>
      </c>
      <c r="D171" s="360" t="s">
        <v>4</v>
      </c>
      <c r="E171" s="353" t="s">
        <v>316</v>
      </c>
      <c r="F171" s="353" t="s">
        <v>313</v>
      </c>
      <c r="G171" s="411"/>
      <c r="H171" s="364">
        <v>3485.85</v>
      </c>
      <c r="I171" s="1004"/>
      <c r="J171" s="1005">
        <v>3510.28</v>
      </c>
      <c r="L171" s="453"/>
      <c r="M171" s="453"/>
    </row>
    <row r="172" spans="1:13" ht="12">
      <c r="A172" s="336" t="s">
        <v>827</v>
      </c>
      <c r="B172" s="352"/>
      <c r="C172" s="360" t="s">
        <v>332</v>
      </c>
      <c r="D172" s="360" t="s">
        <v>4</v>
      </c>
      <c r="E172" s="353" t="s">
        <v>333</v>
      </c>
      <c r="F172" s="353" t="s">
        <v>334</v>
      </c>
      <c r="G172" s="411"/>
      <c r="H172" s="364">
        <v>10.32</v>
      </c>
      <c r="I172" s="1004"/>
      <c r="J172" s="1005">
        <v>10.39</v>
      </c>
      <c r="L172" s="453"/>
      <c r="M172" s="453"/>
    </row>
    <row r="173" spans="1:13" ht="12">
      <c r="A173" s="336" t="s">
        <v>828</v>
      </c>
      <c r="B173" s="352"/>
      <c r="C173" s="360" t="s">
        <v>332</v>
      </c>
      <c r="D173" s="360" t="s">
        <v>4</v>
      </c>
      <c r="E173" s="353" t="s">
        <v>317</v>
      </c>
      <c r="F173" s="353" t="s">
        <v>334</v>
      </c>
      <c r="G173" s="411"/>
      <c r="H173" s="364">
        <v>62.5</v>
      </c>
      <c r="I173" s="1004"/>
      <c r="J173" s="1005">
        <v>62.94</v>
      </c>
      <c r="L173" s="453"/>
      <c r="M173" s="453"/>
    </row>
    <row r="174" spans="1:13" ht="12">
      <c r="A174" s="336" t="s">
        <v>829</v>
      </c>
      <c r="B174" s="352"/>
      <c r="C174" s="360" t="s">
        <v>332</v>
      </c>
      <c r="D174" s="360" t="s">
        <v>4</v>
      </c>
      <c r="E174" s="353" t="s">
        <v>318</v>
      </c>
      <c r="F174" s="353" t="s">
        <v>334</v>
      </c>
      <c r="G174" s="411"/>
      <c r="H174" s="364">
        <v>491</v>
      </c>
      <c r="I174" s="1004"/>
      <c r="J174" s="1005">
        <v>494.44</v>
      </c>
      <c r="L174" s="453"/>
      <c r="M174" s="453"/>
    </row>
    <row r="175" spans="1:13" ht="12">
      <c r="A175" s="336" t="s">
        <v>830</v>
      </c>
      <c r="B175" s="352"/>
      <c r="C175" s="360" t="s">
        <v>332</v>
      </c>
      <c r="D175" s="360" t="s">
        <v>4</v>
      </c>
      <c r="E175" s="353" t="s">
        <v>319</v>
      </c>
      <c r="F175" s="353" t="s">
        <v>334</v>
      </c>
      <c r="G175" s="411"/>
      <c r="H175" s="364">
        <v>3485.85</v>
      </c>
      <c r="I175" s="1004"/>
      <c r="J175" s="1005">
        <v>3510.28</v>
      </c>
      <c r="L175" s="453"/>
      <c r="M175" s="453"/>
    </row>
    <row r="176" spans="1:13" ht="12">
      <c r="A176" s="336" t="s">
        <v>564</v>
      </c>
      <c r="B176" s="352"/>
      <c r="C176" s="360" t="s">
        <v>332</v>
      </c>
      <c r="D176" s="360" t="s">
        <v>321</v>
      </c>
      <c r="E176" s="353" t="s">
        <v>311</v>
      </c>
      <c r="F176" s="353" t="s">
        <v>312</v>
      </c>
      <c r="G176" s="411"/>
      <c r="H176" s="397"/>
      <c r="I176" s="1004"/>
      <c r="J176" s="1005"/>
      <c r="L176" s="453"/>
      <c r="M176" s="453"/>
    </row>
    <row r="177" spans="1:13" ht="12">
      <c r="A177" s="336" t="s">
        <v>568</v>
      </c>
      <c r="B177" s="352"/>
      <c r="C177" s="360" t="s">
        <v>332</v>
      </c>
      <c r="D177" s="360" t="s">
        <v>321</v>
      </c>
      <c r="E177" s="353" t="s">
        <v>311</v>
      </c>
      <c r="F177" s="353" t="s">
        <v>313</v>
      </c>
      <c r="G177" s="364">
        <v>16.09</v>
      </c>
      <c r="H177" s="362"/>
      <c r="I177" s="1004">
        <v>16.21</v>
      </c>
      <c r="J177" s="1005"/>
      <c r="L177" s="453"/>
      <c r="M177" s="453"/>
    </row>
    <row r="178" spans="1:13" ht="12">
      <c r="A178" s="336" t="s">
        <v>565</v>
      </c>
      <c r="B178" s="352"/>
      <c r="C178" s="360" t="s">
        <v>332</v>
      </c>
      <c r="D178" s="360" t="s">
        <v>321</v>
      </c>
      <c r="E178" s="353" t="s">
        <v>314</v>
      </c>
      <c r="F178" s="353" t="s">
        <v>312</v>
      </c>
      <c r="G178" s="364"/>
      <c r="H178" s="362"/>
      <c r="I178" s="1004"/>
      <c r="J178" s="1005"/>
      <c r="L178" s="453"/>
      <c r="M178" s="453"/>
    </row>
    <row r="179" spans="1:13" ht="12">
      <c r="A179" s="336" t="s">
        <v>569</v>
      </c>
      <c r="B179" s="352"/>
      <c r="C179" s="360" t="s">
        <v>332</v>
      </c>
      <c r="D179" s="360" t="s">
        <v>321</v>
      </c>
      <c r="E179" s="353" t="s">
        <v>314</v>
      </c>
      <c r="F179" s="353" t="s">
        <v>313</v>
      </c>
      <c r="G179" s="364">
        <v>16.09</v>
      </c>
      <c r="H179" s="362"/>
      <c r="I179" s="1004">
        <v>16.21</v>
      </c>
      <c r="J179" s="1005"/>
      <c r="L179" s="453"/>
      <c r="M179" s="453"/>
    </row>
    <row r="180" spans="1:13" ht="12">
      <c r="A180" s="336" t="s">
        <v>566</v>
      </c>
      <c r="B180" s="352"/>
      <c r="C180" s="360" t="s">
        <v>332</v>
      </c>
      <c r="D180" s="360" t="s">
        <v>321</v>
      </c>
      <c r="E180" s="353" t="s">
        <v>315</v>
      </c>
      <c r="F180" s="353" t="s">
        <v>312</v>
      </c>
      <c r="G180" s="364"/>
      <c r="H180" s="362"/>
      <c r="I180" s="1004"/>
      <c r="J180" s="1005"/>
      <c r="L180" s="453"/>
      <c r="M180" s="453"/>
    </row>
    <row r="181" spans="1:13" ht="12">
      <c r="A181" s="336" t="s">
        <v>570</v>
      </c>
      <c r="B181" s="352"/>
      <c r="C181" s="360" t="s">
        <v>332</v>
      </c>
      <c r="D181" s="360" t="s">
        <v>321</v>
      </c>
      <c r="E181" s="353" t="s">
        <v>315</v>
      </c>
      <c r="F181" s="353" t="s">
        <v>313</v>
      </c>
      <c r="G181" s="364">
        <v>16.09</v>
      </c>
      <c r="H181" s="362"/>
      <c r="I181" s="1004">
        <v>16.21</v>
      </c>
      <c r="J181" s="1005"/>
      <c r="L181" s="453"/>
      <c r="M181" s="453"/>
    </row>
    <row r="182" spans="1:13" ht="12">
      <c r="A182" s="336" t="s">
        <v>658</v>
      </c>
      <c r="B182" s="352"/>
      <c r="C182" s="360" t="s">
        <v>332</v>
      </c>
      <c r="D182" s="360" t="s">
        <v>321</v>
      </c>
      <c r="E182" s="353" t="s">
        <v>316</v>
      </c>
      <c r="F182" s="353" t="s">
        <v>312</v>
      </c>
      <c r="G182" s="364"/>
      <c r="H182" s="362"/>
      <c r="I182" s="1004"/>
      <c r="J182" s="1005"/>
      <c r="L182" s="453"/>
      <c r="M182" s="453"/>
    </row>
    <row r="183" spans="1:13" ht="12">
      <c r="A183" s="336" t="s">
        <v>688</v>
      </c>
      <c r="B183" s="352"/>
      <c r="C183" s="360" t="s">
        <v>332</v>
      </c>
      <c r="D183" s="360" t="s">
        <v>321</v>
      </c>
      <c r="E183" s="353" t="s">
        <v>316</v>
      </c>
      <c r="F183" s="353" t="s">
        <v>313</v>
      </c>
      <c r="G183" s="364">
        <v>16.09</v>
      </c>
      <c r="H183" s="362"/>
      <c r="I183" s="1004">
        <v>16.21</v>
      </c>
      <c r="J183" s="1005"/>
      <c r="L183" s="453"/>
      <c r="M183" s="453"/>
    </row>
    <row r="184" spans="1:13" ht="12">
      <c r="A184" s="336" t="s">
        <v>831</v>
      </c>
      <c r="B184" s="352"/>
      <c r="C184" s="360" t="s">
        <v>332</v>
      </c>
      <c r="D184" s="360" t="s">
        <v>322</v>
      </c>
      <c r="E184" s="353" t="s">
        <v>333</v>
      </c>
      <c r="F184" s="353" t="s">
        <v>334</v>
      </c>
      <c r="G184" s="364">
        <v>16.09</v>
      </c>
      <c r="H184" s="364"/>
      <c r="I184" s="1004">
        <v>16.21</v>
      </c>
      <c r="J184" s="1005"/>
      <c r="L184" s="453"/>
      <c r="M184" s="453"/>
    </row>
    <row r="185" spans="1:13" ht="12">
      <c r="A185" s="336" t="s">
        <v>832</v>
      </c>
      <c r="B185" s="352"/>
      <c r="C185" s="360" t="s">
        <v>332</v>
      </c>
      <c r="D185" s="360" t="s">
        <v>322</v>
      </c>
      <c r="E185" s="353" t="s">
        <v>317</v>
      </c>
      <c r="F185" s="353" t="s">
        <v>334</v>
      </c>
      <c r="G185" s="364">
        <v>16.09</v>
      </c>
      <c r="H185" s="364"/>
      <c r="I185" s="1004">
        <v>16.21</v>
      </c>
      <c r="J185" s="1005"/>
      <c r="L185" s="453"/>
      <c r="M185" s="453"/>
    </row>
    <row r="186" spans="1:13" ht="12">
      <c r="A186" s="336" t="s">
        <v>833</v>
      </c>
      <c r="B186" s="352"/>
      <c r="C186" s="360" t="s">
        <v>332</v>
      </c>
      <c r="D186" s="360" t="s">
        <v>322</v>
      </c>
      <c r="E186" s="353" t="s">
        <v>318</v>
      </c>
      <c r="F186" s="353" t="s">
        <v>334</v>
      </c>
      <c r="G186" s="364">
        <v>16.09</v>
      </c>
      <c r="H186" s="364"/>
      <c r="I186" s="1004">
        <v>16.21</v>
      </c>
      <c r="J186" s="1005"/>
      <c r="L186" s="453"/>
      <c r="M186" s="453"/>
    </row>
    <row r="187" spans="1:13" ht="12.6" thickBot="1">
      <c r="A187" s="336" t="s">
        <v>834</v>
      </c>
      <c r="B187" s="403"/>
      <c r="C187" s="378" t="s">
        <v>332</v>
      </c>
      <c r="D187" s="378" t="s">
        <v>322</v>
      </c>
      <c r="E187" s="404" t="s">
        <v>319</v>
      </c>
      <c r="F187" s="404" t="s">
        <v>334</v>
      </c>
      <c r="G187" s="405">
        <v>16.09</v>
      </c>
      <c r="H187" s="405"/>
      <c r="I187" s="1006">
        <v>16.21</v>
      </c>
      <c r="J187" s="1007"/>
      <c r="L187" s="453"/>
      <c r="M187" s="453"/>
    </row>
    <row r="188" spans="1:13">
      <c r="A188" s="336" t="s">
        <v>335</v>
      </c>
      <c r="C188" s="335" t="s">
        <v>335</v>
      </c>
    </row>
    <row r="189" spans="1:13">
      <c r="A189" s="336" t="s">
        <v>336</v>
      </c>
      <c r="C189" s="335" t="s">
        <v>336</v>
      </c>
    </row>
    <row r="190" spans="1:13">
      <c r="A190" s="336" t="s">
        <v>337</v>
      </c>
      <c r="C190" s="356" t="s">
        <v>337</v>
      </c>
    </row>
    <row r="191" spans="1:13" ht="12" thickBot="1">
      <c r="A191" s="336" t="s">
        <v>734</v>
      </c>
      <c r="B191" s="408"/>
    </row>
    <row r="192" spans="1:13" ht="12.6" thickBot="1">
      <c r="A192" s="336" t="s">
        <v>338</v>
      </c>
      <c r="B192" s="385"/>
      <c r="C192" s="386" t="s">
        <v>338</v>
      </c>
      <c r="D192" s="344"/>
      <c r="E192" s="387"/>
      <c r="F192" s="387"/>
      <c r="G192" s="1042" t="s">
        <v>328</v>
      </c>
      <c r="H192" s="1043"/>
      <c r="I192" s="456" t="s">
        <v>282</v>
      </c>
      <c r="J192" s="455"/>
    </row>
    <row r="193" spans="1:13" ht="12">
      <c r="A193" s="336" t="s">
        <v>758</v>
      </c>
      <c r="B193" s="389" t="s">
        <v>283</v>
      </c>
      <c r="C193" s="390" t="s">
        <v>211</v>
      </c>
      <c r="D193" s="391" t="s">
        <v>212</v>
      </c>
      <c r="E193" s="390" t="s">
        <v>213</v>
      </c>
      <c r="F193" s="390" t="s">
        <v>214</v>
      </c>
      <c r="G193" s="391" t="s">
        <v>127</v>
      </c>
      <c r="H193" s="390" t="s">
        <v>215</v>
      </c>
      <c r="I193" s="410" t="s">
        <v>127</v>
      </c>
      <c r="J193" s="351" t="s">
        <v>215</v>
      </c>
    </row>
    <row r="194" spans="1:13" ht="12">
      <c r="A194" s="336" t="s">
        <v>590</v>
      </c>
      <c r="B194" s="352"/>
      <c r="C194" s="353" t="s">
        <v>339</v>
      </c>
      <c r="D194" s="360" t="s">
        <v>4</v>
      </c>
      <c r="E194" s="353" t="s">
        <v>340</v>
      </c>
      <c r="F194" s="353"/>
      <c r="G194" s="395"/>
      <c r="H194" s="364">
        <v>30.89</v>
      </c>
      <c r="I194" s="1004"/>
      <c r="J194" s="1005">
        <v>31.11</v>
      </c>
      <c r="L194" s="453"/>
      <c r="M194" s="453"/>
    </row>
    <row r="195" spans="1:13" ht="12">
      <c r="A195" s="336" t="s">
        <v>835</v>
      </c>
      <c r="B195" s="352"/>
      <c r="C195" s="353" t="s">
        <v>339</v>
      </c>
      <c r="D195" s="360" t="s">
        <v>4</v>
      </c>
      <c r="E195" s="353" t="s">
        <v>341</v>
      </c>
      <c r="F195" s="353"/>
      <c r="G195" s="395"/>
      <c r="H195" s="364">
        <v>30.89</v>
      </c>
      <c r="I195" s="1004"/>
      <c r="J195" s="1005">
        <v>31.11</v>
      </c>
      <c r="L195" s="453"/>
      <c r="M195" s="453"/>
    </row>
    <row r="196" spans="1:13" ht="12">
      <c r="A196" s="336" t="s">
        <v>836</v>
      </c>
      <c r="B196" s="352"/>
      <c r="C196" s="353" t="s">
        <v>339</v>
      </c>
      <c r="D196" s="360" t="s">
        <v>4</v>
      </c>
      <c r="E196" s="353" t="s">
        <v>342</v>
      </c>
      <c r="F196" s="353"/>
      <c r="G196" s="395"/>
      <c r="H196" s="364">
        <v>30.89</v>
      </c>
      <c r="I196" s="1004"/>
      <c r="J196" s="1005">
        <v>31.11</v>
      </c>
      <c r="L196" s="453"/>
      <c r="M196" s="453"/>
    </row>
    <row r="197" spans="1:13" ht="12">
      <c r="A197" s="336" t="s">
        <v>591</v>
      </c>
      <c r="B197" s="352" t="s">
        <v>284</v>
      </c>
      <c r="C197" s="353" t="s">
        <v>339</v>
      </c>
      <c r="D197" s="360" t="s">
        <v>343</v>
      </c>
      <c r="E197" s="353" t="s">
        <v>340</v>
      </c>
      <c r="F197" s="353"/>
      <c r="G197" s="364">
        <v>39.78</v>
      </c>
      <c r="H197" s="412"/>
      <c r="I197" s="1004">
        <v>40.06</v>
      </c>
      <c r="J197" s="1005"/>
      <c r="L197" s="453"/>
      <c r="M197" s="453"/>
    </row>
    <row r="198" spans="1:13" ht="12">
      <c r="A198" s="336" t="s">
        <v>837</v>
      </c>
      <c r="B198" s="352" t="s">
        <v>284</v>
      </c>
      <c r="C198" s="353" t="s">
        <v>339</v>
      </c>
      <c r="D198" s="360" t="s">
        <v>343</v>
      </c>
      <c r="E198" s="353" t="s">
        <v>341</v>
      </c>
      <c r="F198" s="353"/>
      <c r="G198" s="364">
        <v>833.64</v>
      </c>
      <c r="H198" s="412"/>
      <c r="I198" s="1004">
        <v>839.48</v>
      </c>
      <c r="J198" s="1005"/>
      <c r="L198" s="453"/>
      <c r="M198" s="453"/>
    </row>
    <row r="199" spans="1:13" ht="12">
      <c r="A199" s="336" t="s">
        <v>838</v>
      </c>
      <c r="B199" s="352" t="s">
        <v>284</v>
      </c>
      <c r="C199" s="353" t="s">
        <v>339</v>
      </c>
      <c r="D199" s="360" t="s">
        <v>343</v>
      </c>
      <c r="E199" s="353" t="s">
        <v>342</v>
      </c>
      <c r="F199" s="353"/>
      <c r="G199" s="364">
        <v>833.64</v>
      </c>
      <c r="H199" s="412"/>
      <c r="I199" s="1004">
        <v>839.48</v>
      </c>
      <c r="J199" s="1005"/>
      <c r="L199" s="453"/>
      <c r="M199" s="453"/>
    </row>
    <row r="200" spans="1:13" ht="12">
      <c r="A200" s="336" t="s">
        <v>839</v>
      </c>
      <c r="B200" s="352"/>
      <c r="C200" s="353" t="s">
        <v>339</v>
      </c>
      <c r="D200" s="360" t="s">
        <v>344</v>
      </c>
      <c r="E200" s="353" t="s">
        <v>345</v>
      </c>
      <c r="F200" s="353"/>
      <c r="G200" s="364"/>
      <c r="H200" s="412"/>
      <c r="I200" s="1004"/>
      <c r="J200" s="1005"/>
      <c r="L200" s="453"/>
      <c r="M200" s="453"/>
    </row>
    <row r="201" spans="1:13" ht="12">
      <c r="A201" s="336" t="s">
        <v>840</v>
      </c>
      <c r="B201" s="352"/>
      <c r="C201" s="353" t="s">
        <v>339</v>
      </c>
      <c r="D201" s="360" t="s">
        <v>344</v>
      </c>
      <c r="E201" s="353" t="s">
        <v>346</v>
      </c>
      <c r="F201" s="353"/>
      <c r="G201" s="364"/>
      <c r="H201" s="412"/>
      <c r="I201" s="1004"/>
      <c r="J201" s="1005"/>
      <c r="L201" s="453"/>
      <c r="M201" s="453"/>
    </row>
    <row r="202" spans="1:13" ht="12">
      <c r="A202" s="336" t="s">
        <v>841</v>
      </c>
      <c r="B202" s="352"/>
      <c r="C202" s="353" t="s">
        <v>339</v>
      </c>
      <c r="D202" s="360" t="s">
        <v>344</v>
      </c>
      <c r="E202" s="353" t="s">
        <v>342</v>
      </c>
      <c r="F202" s="353"/>
      <c r="G202" s="364"/>
      <c r="H202" s="412"/>
      <c r="I202" s="1004"/>
      <c r="J202" s="1005"/>
      <c r="L202" s="453"/>
      <c r="M202" s="453"/>
    </row>
    <row r="203" spans="1:13" ht="12">
      <c r="A203" s="336" t="s">
        <v>734</v>
      </c>
      <c r="B203" s="398"/>
      <c r="C203" s="399"/>
      <c r="D203" s="399"/>
      <c r="E203" s="399"/>
      <c r="F203" s="399"/>
      <c r="G203" s="400"/>
      <c r="H203" s="400"/>
      <c r="I203" s="1009"/>
      <c r="J203" s="1010"/>
      <c r="L203" s="453"/>
      <c r="M203" s="453"/>
    </row>
    <row r="204" spans="1:13" ht="12">
      <c r="A204" s="336" t="s">
        <v>575</v>
      </c>
      <c r="B204" s="352"/>
      <c r="C204" s="353" t="s">
        <v>347</v>
      </c>
      <c r="D204" s="360" t="s">
        <v>4</v>
      </c>
      <c r="E204" s="353" t="s">
        <v>340</v>
      </c>
      <c r="F204" s="353"/>
      <c r="G204" s="364"/>
      <c r="H204" s="364">
        <v>34.71</v>
      </c>
      <c r="I204" s="1004"/>
      <c r="J204" s="1005">
        <v>34.950000000000003</v>
      </c>
      <c r="L204" s="453"/>
      <c r="M204" s="453"/>
    </row>
    <row r="205" spans="1:13" ht="12">
      <c r="A205" s="336" t="s">
        <v>576</v>
      </c>
      <c r="B205" s="352"/>
      <c r="C205" s="353" t="s">
        <v>347</v>
      </c>
      <c r="D205" s="360" t="s">
        <v>4</v>
      </c>
      <c r="E205" s="353" t="s">
        <v>341</v>
      </c>
      <c r="F205" s="353"/>
      <c r="G205" s="364"/>
      <c r="H205" s="364">
        <v>34.71</v>
      </c>
      <c r="I205" s="1004"/>
      <c r="J205" s="1005">
        <v>34.950000000000003</v>
      </c>
      <c r="L205" s="453"/>
      <c r="M205" s="453"/>
    </row>
    <row r="206" spans="1:13" ht="12">
      <c r="A206" s="336" t="s">
        <v>842</v>
      </c>
      <c r="B206" s="352"/>
      <c r="C206" s="353" t="s">
        <v>347</v>
      </c>
      <c r="D206" s="360" t="s">
        <v>4</v>
      </c>
      <c r="E206" s="353" t="s">
        <v>342</v>
      </c>
      <c r="F206" s="353"/>
      <c r="G206" s="364"/>
      <c r="H206" s="364">
        <v>34.71</v>
      </c>
      <c r="I206" s="1004"/>
      <c r="J206" s="1005">
        <v>34.950000000000003</v>
      </c>
      <c r="L206" s="453"/>
      <c r="M206" s="453"/>
    </row>
    <row r="207" spans="1:13" ht="12">
      <c r="A207" s="336" t="s">
        <v>577</v>
      </c>
      <c r="B207" s="352" t="s">
        <v>288</v>
      </c>
      <c r="C207" s="353" t="s">
        <v>347</v>
      </c>
      <c r="D207" s="360" t="s">
        <v>343</v>
      </c>
      <c r="E207" s="353" t="s">
        <v>340</v>
      </c>
      <c r="F207" s="353"/>
      <c r="G207" s="364">
        <v>79.38</v>
      </c>
      <c r="H207" s="412"/>
      <c r="I207" s="1004">
        <v>79.94</v>
      </c>
      <c r="J207" s="1005"/>
      <c r="L207" s="453"/>
      <c r="M207" s="453"/>
    </row>
    <row r="208" spans="1:13" ht="12">
      <c r="A208" s="336" t="s">
        <v>578</v>
      </c>
      <c r="B208" s="352" t="s">
        <v>288</v>
      </c>
      <c r="C208" s="353" t="s">
        <v>347</v>
      </c>
      <c r="D208" s="360" t="s">
        <v>343</v>
      </c>
      <c r="E208" s="353" t="s">
        <v>341</v>
      </c>
      <c r="F208" s="353"/>
      <c r="G208" s="364">
        <v>833.64</v>
      </c>
      <c r="H208" s="412"/>
      <c r="I208" s="1004">
        <v>839.48</v>
      </c>
      <c r="J208" s="1005"/>
      <c r="L208" s="453"/>
      <c r="M208" s="453"/>
    </row>
    <row r="209" spans="1:13" ht="12">
      <c r="A209" s="336" t="s">
        <v>843</v>
      </c>
      <c r="B209" s="352" t="s">
        <v>288</v>
      </c>
      <c r="C209" s="353" t="s">
        <v>347</v>
      </c>
      <c r="D209" s="360" t="s">
        <v>343</v>
      </c>
      <c r="E209" s="353" t="s">
        <v>342</v>
      </c>
      <c r="F209" s="353"/>
      <c r="G209" s="364">
        <v>833.64</v>
      </c>
      <c r="H209" s="412"/>
      <c r="I209" s="1004">
        <v>839.48</v>
      </c>
      <c r="J209" s="1005"/>
      <c r="L209" s="453"/>
      <c r="M209" s="453"/>
    </row>
    <row r="210" spans="1:13" ht="12">
      <c r="A210" s="336" t="s">
        <v>844</v>
      </c>
      <c r="B210" s="352"/>
      <c r="C210" s="353" t="s">
        <v>347</v>
      </c>
      <c r="D210" s="360" t="s">
        <v>344</v>
      </c>
      <c r="E210" s="353" t="s">
        <v>345</v>
      </c>
      <c r="F210" s="353"/>
      <c r="G210" s="364"/>
      <c r="H210" s="411"/>
      <c r="I210" s="1004"/>
      <c r="J210" s="1005"/>
      <c r="L210" s="453"/>
      <c r="M210" s="453"/>
    </row>
    <row r="211" spans="1:13" ht="12">
      <c r="A211" s="336" t="s">
        <v>845</v>
      </c>
      <c r="B211" s="352"/>
      <c r="C211" s="353" t="s">
        <v>347</v>
      </c>
      <c r="D211" s="360" t="s">
        <v>344</v>
      </c>
      <c r="E211" s="353" t="s">
        <v>346</v>
      </c>
      <c r="F211" s="353"/>
      <c r="G211" s="364"/>
      <c r="H211" s="411"/>
      <c r="I211" s="1004"/>
      <c r="J211" s="1005"/>
      <c r="L211" s="453"/>
      <c r="M211" s="453"/>
    </row>
    <row r="212" spans="1:13" ht="12.6" thickBot="1">
      <c r="A212" s="336" t="s">
        <v>846</v>
      </c>
      <c r="B212" s="403"/>
      <c r="C212" s="404" t="s">
        <v>347</v>
      </c>
      <c r="D212" s="378" t="s">
        <v>344</v>
      </c>
      <c r="E212" s="404" t="s">
        <v>348</v>
      </c>
      <c r="F212" s="404"/>
      <c r="G212" s="405"/>
      <c r="H212" s="413"/>
      <c r="I212" s="1006"/>
      <c r="J212" s="1007"/>
      <c r="L212" s="453"/>
      <c r="M212" s="453"/>
    </row>
    <row r="213" spans="1:13">
      <c r="A213" s="336" t="s">
        <v>349</v>
      </c>
      <c r="C213" s="335" t="s">
        <v>349</v>
      </c>
    </row>
    <row r="214" spans="1:13">
      <c r="A214" s="336" t="s">
        <v>350</v>
      </c>
      <c r="C214" s="335" t="s">
        <v>350</v>
      </c>
    </row>
    <row r="215" spans="1:13" ht="12" thickBot="1">
      <c r="A215" s="336" t="s">
        <v>734</v>
      </c>
      <c r="B215" s="408"/>
    </row>
    <row r="216" spans="1:13" ht="12.6" thickBot="1">
      <c r="A216" s="336" t="s">
        <v>351</v>
      </c>
      <c r="B216" s="385"/>
      <c r="C216" s="386" t="s">
        <v>351</v>
      </c>
      <c r="D216" s="344"/>
      <c r="E216" s="387"/>
      <c r="F216" s="387"/>
      <c r="G216" s="1042" t="s">
        <v>328</v>
      </c>
      <c r="H216" s="1043"/>
      <c r="I216" s="456" t="s">
        <v>282</v>
      </c>
      <c r="J216" s="455"/>
    </row>
    <row r="217" spans="1:13" ht="12">
      <c r="A217" s="336" t="s">
        <v>758</v>
      </c>
      <c r="B217" s="389" t="s">
        <v>283</v>
      </c>
      <c r="C217" s="390" t="s">
        <v>211</v>
      </c>
      <c r="D217" s="391" t="s">
        <v>212</v>
      </c>
      <c r="E217" s="390" t="s">
        <v>213</v>
      </c>
      <c r="F217" s="390" t="s">
        <v>214</v>
      </c>
      <c r="G217" s="391" t="s">
        <v>127</v>
      </c>
      <c r="H217" s="391" t="s">
        <v>215</v>
      </c>
      <c r="I217" s="414" t="s">
        <v>127</v>
      </c>
      <c r="J217" s="415" t="s">
        <v>215</v>
      </c>
    </row>
    <row r="218" spans="1:13" ht="12">
      <c r="A218" s="336" t="s">
        <v>583</v>
      </c>
      <c r="B218" s="416"/>
      <c r="C218" s="417" t="s">
        <v>352</v>
      </c>
      <c r="D218" s="417" t="s">
        <v>343</v>
      </c>
      <c r="E218" s="417"/>
      <c r="F218" s="418"/>
      <c r="G218" s="364">
        <v>0</v>
      </c>
      <c r="H218" s="396"/>
      <c r="I218" s="1014">
        <v>0</v>
      </c>
      <c r="J218" s="1015"/>
      <c r="L218" s="453"/>
      <c r="M218" s="453"/>
    </row>
    <row r="219" spans="1:13" ht="12">
      <c r="A219" s="336" t="s">
        <v>847</v>
      </c>
      <c r="B219" s="416"/>
      <c r="C219" s="360" t="s">
        <v>353</v>
      </c>
      <c r="D219" s="360" t="s">
        <v>343</v>
      </c>
      <c r="E219" s="360"/>
      <c r="F219" s="419"/>
      <c r="G219" s="364">
        <v>0</v>
      </c>
      <c r="H219" s="396"/>
      <c r="I219" s="1004">
        <v>0</v>
      </c>
      <c r="J219" s="1005"/>
      <c r="L219" s="453"/>
      <c r="M219" s="453"/>
    </row>
    <row r="220" spans="1:13" ht="12">
      <c r="A220" s="336" t="s">
        <v>582</v>
      </c>
      <c r="B220" s="416"/>
      <c r="C220" s="360" t="s">
        <v>352</v>
      </c>
      <c r="D220" s="360" t="s">
        <v>4</v>
      </c>
      <c r="E220" s="360"/>
      <c r="F220" s="360"/>
      <c r="G220" s="364"/>
      <c r="H220" s="396">
        <v>0</v>
      </c>
      <c r="I220" s="1004"/>
      <c r="J220" s="1005">
        <v>0</v>
      </c>
      <c r="L220" s="453"/>
      <c r="M220" s="453"/>
    </row>
    <row r="221" spans="1:13" ht="12.6" thickBot="1">
      <c r="A221" s="336" t="s">
        <v>848</v>
      </c>
      <c r="B221" s="420"/>
      <c r="C221" s="378" t="s">
        <v>353</v>
      </c>
      <c r="D221" s="378" t="s">
        <v>4</v>
      </c>
      <c r="E221" s="378"/>
      <c r="F221" s="378"/>
      <c r="G221" s="405"/>
      <c r="H221" s="407">
        <v>0</v>
      </c>
      <c r="I221" s="1006"/>
      <c r="J221" s="1007">
        <v>0</v>
      </c>
      <c r="L221" s="453"/>
      <c r="M221" s="453"/>
    </row>
    <row r="222" spans="1:13" ht="12" thickBot="1">
      <c r="A222" s="336" t="s">
        <v>734</v>
      </c>
      <c r="B222" s="356"/>
      <c r="C222" s="356"/>
      <c r="D222" s="356"/>
      <c r="E222" s="356"/>
      <c r="F222" s="356"/>
    </row>
    <row r="223" spans="1:13" ht="12.6" thickBot="1">
      <c r="A223" s="336" t="s">
        <v>354</v>
      </c>
      <c r="B223" s="421"/>
      <c r="C223" s="409" t="s">
        <v>354</v>
      </c>
      <c r="D223" s="344"/>
      <c r="E223" s="387"/>
      <c r="F223" s="387"/>
      <c r="G223" s="422"/>
      <c r="H223" s="422"/>
      <c r="I223" s="458" t="s">
        <v>282</v>
      </c>
      <c r="J223" s="459"/>
    </row>
    <row r="224" spans="1:13" ht="12">
      <c r="A224" s="336" t="s">
        <v>758</v>
      </c>
      <c r="B224" s="350" t="s">
        <v>283</v>
      </c>
      <c r="C224" s="349" t="s">
        <v>211</v>
      </c>
      <c r="D224" s="349" t="s">
        <v>212</v>
      </c>
      <c r="E224" s="346" t="s">
        <v>213</v>
      </c>
      <c r="F224" s="346" t="s">
        <v>214</v>
      </c>
      <c r="G224" s="346" t="s">
        <v>127</v>
      </c>
      <c r="H224" s="415" t="s">
        <v>215</v>
      </c>
      <c r="I224" s="350" t="s">
        <v>127</v>
      </c>
      <c r="J224" s="351" t="s">
        <v>215</v>
      </c>
    </row>
    <row r="225" spans="1:13" ht="12">
      <c r="A225" s="336" t="s">
        <v>580</v>
      </c>
      <c r="B225" s="366" t="s">
        <v>284</v>
      </c>
      <c r="C225" s="360" t="s">
        <v>285</v>
      </c>
      <c r="D225" s="360" t="s">
        <v>4</v>
      </c>
      <c r="E225" s="353"/>
      <c r="F225" s="353" t="s">
        <v>299</v>
      </c>
      <c r="G225" s="423"/>
      <c r="H225" s="424">
        <v>2.0699999999999998</v>
      </c>
      <c r="I225" s="1004"/>
      <c r="J225" s="1005">
        <v>2.08</v>
      </c>
      <c r="L225" s="453"/>
      <c r="M225" s="453"/>
    </row>
    <row r="226" spans="1:13" ht="12">
      <c r="A226" s="336" t="s">
        <v>581</v>
      </c>
      <c r="B226" s="366" t="s">
        <v>329</v>
      </c>
      <c r="C226" s="360" t="s">
        <v>285</v>
      </c>
      <c r="D226" s="360" t="s">
        <v>217</v>
      </c>
      <c r="E226" s="353"/>
      <c r="F226" s="353" t="s">
        <v>299</v>
      </c>
      <c r="G226" s="423">
        <v>16.39</v>
      </c>
      <c r="H226" s="396"/>
      <c r="I226" s="1004">
        <v>16.510000000000002</v>
      </c>
      <c r="J226" s="1005"/>
      <c r="L226" s="453"/>
      <c r="M226" s="453"/>
    </row>
    <row r="227" spans="1:13" ht="12">
      <c r="A227" s="336" t="s">
        <v>815</v>
      </c>
      <c r="B227" s="366"/>
      <c r="C227" s="360" t="s">
        <v>285</v>
      </c>
      <c r="D227" s="360" t="s">
        <v>290</v>
      </c>
      <c r="E227" s="353"/>
      <c r="F227" s="353" t="s">
        <v>299</v>
      </c>
      <c r="G227" s="423"/>
      <c r="H227" s="396"/>
      <c r="I227" s="1004"/>
      <c r="J227" s="1005"/>
      <c r="L227" s="453"/>
      <c r="M227" s="453"/>
    </row>
    <row r="228" spans="1:13" ht="12">
      <c r="A228" s="336" t="s">
        <v>816</v>
      </c>
      <c r="B228" s="366"/>
      <c r="C228" s="360" t="s">
        <v>285</v>
      </c>
      <c r="D228" s="360" t="s">
        <v>291</v>
      </c>
      <c r="E228" s="353" t="s">
        <v>330</v>
      </c>
      <c r="F228" s="353" t="s">
        <v>299</v>
      </c>
      <c r="G228" s="423">
        <v>16.39</v>
      </c>
      <c r="H228" s="396"/>
      <c r="I228" s="1004">
        <v>16.510000000000002</v>
      </c>
      <c r="J228" s="1005"/>
      <c r="L228" s="453"/>
      <c r="M228" s="453"/>
    </row>
    <row r="229" spans="1:13" ht="12">
      <c r="A229" s="336" t="s">
        <v>817</v>
      </c>
      <c r="B229" s="366"/>
      <c r="C229" s="360" t="s">
        <v>285</v>
      </c>
      <c r="D229" s="360" t="s">
        <v>291</v>
      </c>
      <c r="E229" s="353" t="s">
        <v>331</v>
      </c>
      <c r="F229" s="353" t="s">
        <v>299</v>
      </c>
      <c r="G229" s="423">
        <v>16.39</v>
      </c>
      <c r="H229" s="396"/>
      <c r="I229" s="1004">
        <v>16.510000000000002</v>
      </c>
      <c r="J229" s="1005"/>
      <c r="L229" s="453"/>
      <c r="M229" s="453"/>
    </row>
    <row r="230" spans="1:13" ht="12">
      <c r="A230" s="336" t="s">
        <v>818</v>
      </c>
      <c r="B230" s="366"/>
      <c r="C230" s="360" t="s">
        <v>285</v>
      </c>
      <c r="D230" s="360" t="s">
        <v>291</v>
      </c>
      <c r="E230" s="353" t="s">
        <v>294</v>
      </c>
      <c r="F230" s="353" t="s">
        <v>299</v>
      </c>
      <c r="G230" s="423">
        <v>16.39</v>
      </c>
      <c r="H230" s="396"/>
      <c r="I230" s="1004">
        <v>16.510000000000002</v>
      </c>
      <c r="J230" s="1005"/>
      <c r="L230" s="453"/>
      <c r="M230" s="453"/>
    </row>
    <row r="231" spans="1:13" ht="12">
      <c r="A231" s="336" t="s">
        <v>819</v>
      </c>
      <c r="B231" s="366"/>
      <c r="C231" s="360" t="s">
        <v>285</v>
      </c>
      <c r="D231" s="360" t="s">
        <v>291</v>
      </c>
      <c r="E231" s="353" t="s">
        <v>295</v>
      </c>
      <c r="F231" s="353" t="s">
        <v>299</v>
      </c>
      <c r="G231" s="423">
        <v>16.39</v>
      </c>
      <c r="H231" s="396"/>
      <c r="I231" s="1004">
        <v>16.510000000000002</v>
      </c>
      <c r="J231" s="1005"/>
      <c r="L231" s="453"/>
      <c r="M231" s="453"/>
    </row>
    <row r="232" spans="1:13" ht="12">
      <c r="A232" s="336" t="s">
        <v>820</v>
      </c>
      <c r="B232" s="366"/>
      <c r="C232" s="360" t="s">
        <v>285</v>
      </c>
      <c r="D232" s="360" t="s">
        <v>291</v>
      </c>
      <c r="E232" s="353" t="s">
        <v>296</v>
      </c>
      <c r="F232" s="353" t="s">
        <v>299</v>
      </c>
      <c r="G232" s="423">
        <v>16.39</v>
      </c>
      <c r="H232" s="396"/>
      <c r="I232" s="1004">
        <v>16.510000000000002</v>
      </c>
      <c r="J232" s="1005"/>
      <c r="L232" s="453"/>
      <c r="M232" s="453"/>
    </row>
    <row r="233" spans="1:13" ht="12">
      <c r="A233" s="336" t="s">
        <v>821</v>
      </c>
      <c r="B233" s="366"/>
      <c r="C233" s="360" t="s">
        <v>285</v>
      </c>
      <c r="D233" s="360" t="s">
        <v>291</v>
      </c>
      <c r="E233" s="353" t="s">
        <v>297</v>
      </c>
      <c r="F233" s="353" t="s">
        <v>299</v>
      </c>
      <c r="G233" s="423">
        <v>16.39</v>
      </c>
      <c r="H233" s="396"/>
      <c r="I233" s="1004">
        <v>16.510000000000002</v>
      </c>
      <c r="J233" s="1005"/>
      <c r="L233" s="453"/>
      <c r="M233" s="453"/>
    </row>
    <row r="234" spans="1:13" ht="12">
      <c r="A234" s="336" t="s">
        <v>734</v>
      </c>
      <c r="B234" s="425"/>
      <c r="C234" s="399"/>
      <c r="D234" s="399"/>
      <c r="E234" s="399"/>
      <c r="F234" s="399"/>
      <c r="G234" s="426"/>
      <c r="H234" s="427"/>
      <c r="I234" s="998"/>
      <c r="J234" s="427"/>
    </row>
    <row r="235" spans="1:13" ht="12">
      <c r="A235" s="336" t="s">
        <v>573</v>
      </c>
      <c r="B235" s="366" t="s">
        <v>284</v>
      </c>
      <c r="C235" s="360" t="s">
        <v>306</v>
      </c>
      <c r="D235" s="360" t="s">
        <v>4</v>
      </c>
      <c r="E235" s="353"/>
      <c r="F235" s="353" t="s">
        <v>299</v>
      </c>
      <c r="G235" s="423"/>
      <c r="H235" s="396">
        <v>10.34</v>
      </c>
      <c r="I235" s="1004"/>
      <c r="J235" s="1005">
        <v>10.41</v>
      </c>
      <c r="L235" s="453"/>
      <c r="M235" s="453"/>
    </row>
    <row r="236" spans="1:13" ht="12">
      <c r="A236" s="336" t="s">
        <v>574</v>
      </c>
      <c r="B236" s="366" t="s">
        <v>329</v>
      </c>
      <c r="C236" s="360" t="s">
        <v>306</v>
      </c>
      <c r="D236" s="360" t="s">
        <v>217</v>
      </c>
      <c r="E236" s="353"/>
      <c r="F236" s="353" t="s">
        <v>299</v>
      </c>
      <c r="G236" s="423">
        <v>16.39</v>
      </c>
      <c r="H236" s="396"/>
      <c r="I236" s="1004">
        <v>16.510000000000002</v>
      </c>
      <c r="J236" s="1005"/>
      <c r="L236" s="453"/>
      <c r="M236" s="453"/>
    </row>
    <row r="237" spans="1:13" ht="12">
      <c r="A237" s="336" t="s">
        <v>822</v>
      </c>
      <c r="B237" s="366"/>
      <c r="C237" s="360" t="s">
        <v>306</v>
      </c>
      <c r="D237" s="360" t="s">
        <v>290</v>
      </c>
      <c r="E237" s="353"/>
      <c r="F237" s="353" t="s">
        <v>299</v>
      </c>
      <c r="G237" s="423"/>
      <c r="H237" s="396"/>
      <c r="I237" s="1004"/>
      <c r="J237" s="1005"/>
      <c r="L237" s="453"/>
      <c r="M237" s="453"/>
    </row>
    <row r="238" spans="1:13" ht="12">
      <c r="A238" s="336" t="s">
        <v>823</v>
      </c>
      <c r="B238" s="366"/>
      <c r="C238" s="360" t="s">
        <v>306</v>
      </c>
      <c r="D238" s="360" t="s">
        <v>291</v>
      </c>
      <c r="E238" s="353" t="s">
        <v>330</v>
      </c>
      <c r="F238" s="353" t="s">
        <v>299</v>
      </c>
      <c r="G238" s="423">
        <v>16.39</v>
      </c>
      <c r="H238" s="396"/>
      <c r="I238" s="1004">
        <v>16.510000000000002</v>
      </c>
      <c r="J238" s="1005"/>
      <c r="L238" s="453"/>
      <c r="M238" s="453"/>
    </row>
    <row r="239" spans="1:13" ht="12">
      <c r="A239" s="336" t="s">
        <v>824</v>
      </c>
      <c r="B239" s="366"/>
      <c r="C239" s="360" t="s">
        <v>306</v>
      </c>
      <c r="D239" s="360" t="s">
        <v>291</v>
      </c>
      <c r="E239" s="353" t="s">
        <v>331</v>
      </c>
      <c r="F239" s="353" t="s">
        <v>299</v>
      </c>
      <c r="G239" s="423">
        <v>16.39</v>
      </c>
      <c r="H239" s="396"/>
      <c r="I239" s="1004">
        <v>16.510000000000002</v>
      </c>
      <c r="J239" s="1005"/>
      <c r="L239" s="453"/>
      <c r="M239" s="453"/>
    </row>
    <row r="240" spans="1:13" ht="12">
      <c r="A240" s="336" t="s">
        <v>825</v>
      </c>
      <c r="B240" s="366"/>
      <c r="C240" s="360" t="s">
        <v>306</v>
      </c>
      <c r="D240" s="360" t="s">
        <v>291</v>
      </c>
      <c r="E240" s="353" t="s">
        <v>294</v>
      </c>
      <c r="F240" s="353" t="s">
        <v>299</v>
      </c>
      <c r="G240" s="423">
        <v>16.39</v>
      </c>
      <c r="H240" s="396"/>
      <c r="I240" s="1004">
        <v>16.510000000000002</v>
      </c>
      <c r="J240" s="1005"/>
      <c r="L240" s="453"/>
      <c r="M240" s="453"/>
    </row>
    <row r="241" spans="1:13" ht="12">
      <c r="A241" s="336" t="s">
        <v>826</v>
      </c>
      <c r="B241" s="366"/>
      <c r="C241" s="360" t="s">
        <v>306</v>
      </c>
      <c r="D241" s="360" t="s">
        <v>291</v>
      </c>
      <c r="E241" s="353" t="s">
        <v>295</v>
      </c>
      <c r="F241" s="353" t="s">
        <v>299</v>
      </c>
      <c r="G241" s="423">
        <v>16.39</v>
      </c>
      <c r="H241" s="396"/>
      <c r="I241" s="1004">
        <v>16.510000000000002</v>
      </c>
      <c r="J241" s="1005"/>
      <c r="L241" s="453"/>
      <c r="M241" s="453"/>
    </row>
    <row r="242" spans="1:13" ht="12">
      <c r="A242" s="336" t="s">
        <v>734</v>
      </c>
      <c r="B242" s="425"/>
      <c r="C242" s="399"/>
      <c r="D242" s="399"/>
      <c r="E242" s="399"/>
      <c r="F242" s="399"/>
      <c r="G242" s="428"/>
      <c r="H242" s="429"/>
      <c r="I242" s="1016"/>
      <c r="J242" s="1017"/>
      <c r="L242" s="453"/>
      <c r="M242" s="453"/>
    </row>
    <row r="243" spans="1:13" ht="12">
      <c r="A243" s="336" t="s">
        <v>555</v>
      </c>
      <c r="B243" s="366"/>
      <c r="C243" s="360" t="s">
        <v>332</v>
      </c>
      <c r="D243" s="360" t="s">
        <v>4</v>
      </c>
      <c r="E243" s="353" t="s">
        <v>311</v>
      </c>
      <c r="F243" s="353" t="s">
        <v>312</v>
      </c>
      <c r="G243" s="423"/>
      <c r="H243" s="396">
        <v>10.88</v>
      </c>
      <c r="I243" s="1004"/>
      <c r="J243" s="1005">
        <v>10.96</v>
      </c>
      <c r="L243" s="453"/>
      <c r="M243" s="453"/>
    </row>
    <row r="244" spans="1:13" ht="12">
      <c r="A244" s="336" t="s">
        <v>558</v>
      </c>
      <c r="B244" s="366"/>
      <c r="C244" s="360" t="s">
        <v>332</v>
      </c>
      <c r="D244" s="360" t="s">
        <v>4</v>
      </c>
      <c r="E244" s="353" t="s">
        <v>311</v>
      </c>
      <c r="F244" s="353" t="s">
        <v>313</v>
      </c>
      <c r="G244" s="423"/>
      <c r="H244" s="396">
        <v>10.88</v>
      </c>
      <c r="I244" s="1004"/>
      <c r="J244" s="1005">
        <v>10.96</v>
      </c>
      <c r="L244" s="453"/>
      <c r="M244" s="453"/>
    </row>
    <row r="245" spans="1:13" ht="12">
      <c r="A245" s="336" t="s">
        <v>556</v>
      </c>
      <c r="B245" s="366"/>
      <c r="C245" s="360" t="s">
        <v>332</v>
      </c>
      <c r="D245" s="360" t="s">
        <v>4</v>
      </c>
      <c r="E245" s="353" t="s">
        <v>314</v>
      </c>
      <c r="F245" s="353" t="s">
        <v>312</v>
      </c>
      <c r="G245" s="423"/>
      <c r="H245" s="396">
        <v>65.760000000000005</v>
      </c>
      <c r="I245" s="1004"/>
      <c r="J245" s="1005">
        <v>66.22</v>
      </c>
      <c r="L245" s="453"/>
      <c r="M245" s="453"/>
    </row>
    <row r="246" spans="1:13" ht="12">
      <c r="A246" s="336" t="s">
        <v>559</v>
      </c>
      <c r="B246" s="366"/>
      <c r="C246" s="360" t="s">
        <v>332</v>
      </c>
      <c r="D246" s="360" t="s">
        <v>4</v>
      </c>
      <c r="E246" s="353" t="s">
        <v>314</v>
      </c>
      <c r="F246" s="353" t="s">
        <v>313</v>
      </c>
      <c r="G246" s="423"/>
      <c r="H246" s="396">
        <v>65.760000000000005</v>
      </c>
      <c r="I246" s="1004"/>
      <c r="J246" s="1005">
        <v>66.22</v>
      </c>
      <c r="L246" s="453"/>
      <c r="M246" s="453"/>
    </row>
    <row r="247" spans="1:13" ht="12">
      <c r="A247" s="336" t="s">
        <v>557</v>
      </c>
      <c r="B247" s="366"/>
      <c r="C247" s="360" t="s">
        <v>332</v>
      </c>
      <c r="D247" s="360" t="s">
        <v>4</v>
      </c>
      <c r="E247" s="353" t="s">
        <v>315</v>
      </c>
      <c r="F247" s="353" t="s">
        <v>312</v>
      </c>
      <c r="G247" s="423"/>
      <c r="H247" s="396">
        <v>495.42</v>
      </c>
      <c r="I247" s="1004"/>
      <c r="J247" s="1005">
        <v>498.89</v>
      </c>
      <c r="L247" s="453"/>
      <c r="M247" s="453"/>
    </row>
    <row r="248" spans="1:13" ht="12">
      <c r="A248" s="336" t="s">
        <v>560</v>
      </c>
      <c r="B248" s="366"/>
      <c r="C248" s="360" t="s">
        <v>332</v>
      </c>
      <c r="D248" s="360" t="s">
        <v>4</v>
      </c>
      <c r="E248" s="353" t="s">
        <v>315</v>
      </c>
      <c r="F248" s="353" t="s">
        <v>313</v>
      </c>
      <c r="G248" s="423"/>
      <c r="H248" s="396">
        <v>495.42</v>
      </c>
      <c r="I248" s="1004"/>
      <c r="J248" s="1005">
        <v>498.89</v>
      </c>
      <c r="L248" s="453"/>
      <c r="M248" s="453"/>
    </row>
    <row r="249" spans="1:13" ht="12">
      <c r="A249" s="336" t="s">
        <v>657</v>
      </c>
      <c r="B249" s="366"/>
      <c r="C249" s="360" t="s">
        <v>332</v>
      </c>
      <c r="D249" s="360" t="s">
        <v>4</v>
      </c>
      <c r="E249" s="353" t="s">
        <v>316</v>
      </c>
      <c r="F249" s="353" t="s">
        <v>312</v>
      </c>
      <c r="G249" s="423"/>
      <c r="H249" s="396">
        <v>3517.24</v>
      </c>
      <c r="I249" s="1004"/>
      <c r="J249" s="1005">
        <v>3541.88</v>
      </c>
      <c r="L249" s="453"/>
      <c r="M249" s="453"/>
    </row>
    <row r="250" spans="1:13" ht="12">
      <c r="A250" s="336" t="s">
        <v>687</v>
      </c>
      <c r="B250" s="366"/>
      <c r="C250" s="360" t="s">
        <v>332</v>
      </c>
      <c r="D250" s="360" t="s">
        <v>4</v>
      </c>
      <c r="E250" s="353" t="s">
        <v>316</v>
      </c>
      <c r="F250" s="353" t="s">
        <v>313</v>
      </c>
      <c r="G250" s="423"/>
      <c r="H250" s="396">
        <v>3517.24</v>
      </c>
      <c r="I250" s="1004"/>
      <c r="J250" s="1005">
        <v>3541.88</v>
      </c>
      <c r="L250" s="453"/>
      <c r="M250" s="453"/>
    </row>
    <row r="251" spans="1:13" ht="12">
      <c r="A251" s="336" t="s">
        <v>827</v>
      </c>
      <c r="B251" s="366"/>
      <c r="C251" s="360" t="s">
        <v>332</v>
      </c>
      <c r="D251" s="360" t="s">
        <v>4</v>
      </c>
      <c r="E251" s="353" t="s">
        <v>333</v>
      </c>
      <c r="F251" s="353" t="s">
        <v>334</v>
      </c>
      <c r="G251" s="423"/>
      <c r="H251" s="396">
        <v>10.88</v>
      </c>
      <c r="I251" s="1004"/>
      <c r="J251" s="1005">
        <v>10.96</v>
      </c>
      <c r="L251" s="453"/>
      <c r="M251" s="453"/>
    </row>
    <row r="252" spans="1:13" ht="12">
      <c r="A252" s="336" t="s">
        <v>828</v>
      </c>
      <c r="B252" s="366"/>
      <c r="C252" s="360" t="s">
        <v>332</v>
      </c>
      <c r="D252" s="360" t="s">
        <v>4</v>
      </c>
      <c r="E252" s="353" t="s">
        <v>317</v>
      </c>
      <c r="F252" s="353" t="s">
        <v>334</v>
      </c>
      <c r="G252" s="423"/>
      <c r="H252" s="396">
        <v>65.760000000000005</v>
      </c>
      <c r="I252" s="1004"/>
      <c r="J252" s="1005">
        <v>66.22</v>
      </c>
      <c r="L252" s="453"/>
      <c r="M252" s="453"/>
    </row>
    <row r="253" spans="1:13" ht="12">
      <c r="A253" s="336" t="s">
        <v>829</v>
      </c>
      <c r="B253" s="366"/>
      <c r="C253" s="360" t="s">
        <v>332</v>
      </c>
      <c r="D253" s="360" t="s">
        <v>4</v>
      </c>
      <c r="E253" s="353" t="s">
        <v>318</v>
      </c>
      <c r="F253" s="353" t="s">
        <v>334</v>
      </c>
      <c r="G253" s="423"/>
      <c r="H253" s="396">
        <v>495.42</v>
      </c>
      <c r="I253" s="1004"/>
      <c r="J253" s="1005">
        <v>498.89</v>
      </c>
      <c r="L253" s="453"/>
      <c r="M253" s="453"/>
    </row>
    <row r="254" spans="1:13" ht="12">
      <c r="A254" s="336" t="s">
        <v>830</v>
      </c>
      <c r="B254" s="366"/>
      <c r="C254" s="360" t="s">
        <v>332</v>
      </c>
      <c r="D254" s="360" t="s">
        <v>4</v>
      </c>
      <c r="E254" s="353" t="s">
        <v>319</v>
      </c>
      <c r="F254" s="353" t="s">
        <v>334</v>
      </c>
      <c r="G254" s="423"/>
      <c r="H254" s="396">
        <v>3517.24</v>
      </c>
      <c r="I254" s="1004"/>
      <c r="J254" s="1005">
        <v>3541.88</v>
      </c>
      <c r="L254" s="453"/>
      <c r="M254" s="453"/>
    </row>
    <row r="255" spans="1:13" ht="12">
      <c r="A255" s="336" t="s">
        <v>564</v>
      </c>
      <c r="B255" s="366"/>
      <c r="C255" s="360" t="s">
        <v>332</v>
      </c>
      <c r="D255" s="360" t="s">
        <v>321</v>
      </c>
      <c r="E255" s="353" t="s">
        <v>311</v>
      </c>
      <c r="F255" s="353" t="s">
        <v>312</v>
      </c>
      <c r="G255" s="423"/>
      <c r="H255" s="396"/>
      <c r="I255" s="1004"/>
      <c r="J255" s="1005"/>
      <c r="L255" s="453"/>
      <c r="M255" s="453"/>
    </row>
    <row r="256" spans="1:13" ht="12">
      <c r="A256" s="336" t="s">
        <v>568</v>
      </c>
      <c r="B256" s="366"/>
      <c r="C256" s="360" t="s">
        <v>332</v>
      </c>
      <c r="D256" s="360" t="s">
        <v>321</v>
      </c>
      <c r="E256" s="353" t="s">
        <v>311</v>
      </c>
      <c r="F256" s="353" t="s">
        <v>313</v>
      </c>
      <c r="G256" s="423">
        <v>16.39</v>
      </c>
      <c r="H256" s="396"/>
      <c r="I256" s="1004">
        <v>16.510000000000002</v>
      </c>
      <c r="J256" s="1005"/>
      <c r="L256" s="453"/>
      <c r="M256" s="453"/>
    </row>
    <row r="257" spans="1:13" ht="12">
      <c r="A257" s="336" t="s">
        <v>565</v>
      </c>
      <c r="B257" s="366"/>
      <c r="C257" s="360" t="s">
        <v>332</v>
      </c>
      <c r="D257" s="360" t="s">
        <v>321</v>
      </c>
      <c r="E257" s="353" t="s">
        <v>314</v>
      </c>
      <c r="F257" s="353" t="s">
        <v>312</v>
      </c>
      <c r="G257" s="423"/>
      <c r="H257" s="396"/>
      <c r="I257" s="1004"/>
      <c r="J257" s="1005"/>
      <c r="L257" s="453"/>
      <c r="M257" s="453"/>
    </row>
    <row r="258" spans="1:13" ht="12">
      <c r="A258" s="336" t="s">
        <v>569</v>
      </c>
      <c r="B258" s="366"/>
      <c r="C258" s="360" t="s">
        <v>332</v>
      </c>
      <c r="D258" s="360" t="s">
        <v>321</v>
      </c>
      <c r="E258" s="353" t="s">
        <v>314</v>
      </c>
      <c r="F258" s="353" t="s">
        <v>313</v>
      </c>
      <c r="G258" s="423">
        <v>16.39</v>
      </c>
      <c r="H258" s="396"/>
      <c r="I258" s="1004">
        <v>16.510000000000002</v>
      </c>
      <c r="J258" s="1005"/>
      <c r="L258" s="453"/>
      <c r="M258" s="453"/>
    </row>
    <row r="259" spans="1:13" ht="12">
      <c r="A259" s="336" t="s">
        <v>566</v>
      </c>
      <c r="B259" s="366"/>
      <c r="C259" s="360" t="s">
        <v>332</v>
      </c>
      <c r="D259" s="360" t="s">
        <v>321</v>
      </c>
      <c r="E259" s="353" t="s">
        <v>315</v>
      </c>
      <c r="F259" s="353" t="s">
        <v>312</v>
      </c>
      <c r="G259" s="423"/>
      <c r="H259" s="396"/>
      <c r="I259" s="1004"/>
      <c r="J259" s="1005"/>
      <c r="L259" s="453"/>
      <c r="M259" s="453"/>
    </row>
    <row r="260" spans="1:13" ht="12">
      <c r="A260" s="336" t="s">
        <v>570</v>
      </c>
      <c r="B260" s="366"/>
      <c r="C260" s="360" t="s">
        <v>332</v>
      </c>
      <c r="D260" s="360" t="s">
        <v>321</v>
      </c>
      <c r="E260" s="353" t="s">
        <v>315</v>
      </c>
      <c r="F260" s="353" t="s">
        <v>313</v>
      </c>
      <c r="G260" s="423">
        <v>16.39</v>
      </c>
      <c r="H260" s="396"/>
      <c r="I260" s="1004">
        <v>16.510000000000002</v>
      </c>
      <c r="J260" s="1005"/>
      <c r="L260" s="453"/>
      <c r="M260" s="453"/>
    </row>
    <row r="261" spans="1:13" ht="12">
      <c r="A261" s="336" t="s">
        <v>658</v>
      </c>
      <c r="B261" s="366"/>
      <c r="C261" s="360" t="s">
        <v>332</v>
      </c>
      <c r="D261" s="360" t="s">
        <v>321</v>
      </c>
      <c r="E261" s="353" t="s">
        <v>316</v>
      </c>
      <c r="F261" s="353" t="s">
        <v>312</v>
      </c>
      <c r="G261" s="423"/>
      <c r="H261" s="396"/>
      <c r="I261" s="1004"/>
      <c r="J261" s="1005"/>
      <c r="L261" s="453"/>
      <c r="M261" s="453"/>
    </row>
    <row r="262" spans="1:13" ht="12">
      <c r="A262" s="336" t="s">
        <v>688</v>
      </c>
      <c r="B262" s="366"/>
      <c r="C262" s="360" t="s">
        <v>332</v>
      </c>
      <c r="D262" s="360" t="s">
        <v>321</v>
      </c>
      <c r="E262" s="353" t="s">
        <v>316</v>
      </c>
      <c r="F262" s="353" t="s">
        <v>313</v>
      </c>
      <c r="G262" s="423">
        <v>16.39</v>
      </c>
      <c r="H262" s="396"/>
      <c r="I262" s="1004">
        <v>16.510000000000002</v>
      </c>
      <c r="J262" s="1005"/>
      <c r="L262" s="453"/>
      <c r="M262" s="453"/>
    </row>
    <row r="263" spans="1:13" ht="12">
      <c r="A263" s="336" t="s">
        <v>831</v>
      </c>
      <c r="B263" s="366"/>
      <c r="C263" s="360" t="s">
        <v>332</v>
      </c>
      <c r="D263" s="360" t="s">
        <v>322</v>
      </c>
      <c r="E263" s="353" t="s">
        <v>333</v>
      </c>
      <c r="F263" s="353" t="s">
        <v>334</v>
      </c>
      <c r="G263" s="423">
        <v>16.39</v>
      </c>
      <c r="H263" s="396"/>
      <c r="I263" s="1004">
        <v>16.510000000000002</v>
      </c>
      <c r="J263" s="1005"/>
      <c r="L263" s="453"/>
      <c r="M263" s="453"/>
    </row>
    <row r="264" spans="1:13" ht="12">
      <c r="A264" s="336" t="s">
        <v>832</v>
      </c>
      <c r="B264" s="366"/>
      <c r="C264" s="360" t="s">
        <v>332</v>
      </c>
      <c r="D264" s="360" t="s">
        <v>322</v>
      </c>
      <c r="E264" s="353" t="s">
        <v>317</v>
      </c>
      <c r="F264" s="353" t="s">
        <v>334</v>
      </c>
      <c r="G264" s="423">
        <v>16.39</v>
      </c>
      <c r="H264" s="396"/>
      <c r="I264" s="1004">
        <v>16.510000000000002</v>
      </c>
      <c r="J264" s="1005"/>
      <c r="L264" s="453"/>
      <c r="M264" s="453"/>
    </row>
    <row r="265" spans="1:13" ht="12">
      <c r="A265" s="336" t="s">
        <v>833</v>
      </c>
      <c r="B265" s="366"/>
      <c r="C265" s="360" t="s">
        <v>332</v>
      </c>
      <c r="D265" s="360" t="s">
        <v>322</v>
      </c>
      <c r="E265" s="353" t="s">
        <v>318</v>
      </c>
      <c r="F265" s="353" t="s">
        <v>334</v>
      </c>
      <c r="G265" s="423">
        <v>16.39</v>
      </c>
      <c r="H265" s="396"/>
      <c r="I265" s="1004">
        <v>16.510000000000002</v>
      </c>
      <c r="J265" s="1005"/>
      <c r="L265" s="453"/>
      <c r="M265" s="453"/>
    </row>
    <row r="266" spans="1:13" ht="12">
      <c r="A266" s="336" t="s">
        <v>834</v>
      </c>
      <c r="B266" s="366"/>
      <c r="C266" s="360" t="s">
        <v>332</v>
      </c>
      <c r="D266" s="360" t="s">
        <v>322</v>
      </c>
      <c r="E266" s="353" t="s">
        <v>319</v>
      </c>
      <c r="F266" s="353" t="s">
        <v>334</v>
      </c>
      <c r="G266" s="423">
        <v>16.39</v>
      </c>
      <c r="H266" s="396"/>
      <c r="I266" s="1004">
        <v>16.510000000000002</v>
      </c>
      <c r="J266" s="1005"/>
      <c r="L266" s="453"/>
      <c r="M266" s="453"/>
    </row>
    <row r="267" spans="1:13" ht="12">
      <c r="A267" s="336" t="s">
        <v>734</v>
      </c>
      <c r="B267" s="430"/>
      <c r="C267" s="431"/>
      <c r="D267" s="431"/>
      <c r="E267" s="432"/>
      <c r="F267" s="432"/>
      <c r="G267" s="428"/>
      <c r="H267" s="429"/>
      <c r="I267" s="1016"/>
      <c r="J267" s="1017"/>
      <c r="L267" s="453"/>
      <c r="M267" s="453"/>
    </row>
    <row r="268" spans="1:13" ht="12">
      <c r="A268" s="336" t="s">
        <v>579</v>
      </c>
      <c r="B268" s="366" t="s">
        <v>300</v>
      </c>
      <c r="C268" s="366" t="s">
        <v>355</v>
      </c>
      <c r="D268" s="356" t="s">
        <v>356</v>
      </c>
      <c r="E268" s="360" t="s">
        <v>357</v>
      </c>
      <c r="F268" s="360" t="s">
        <v>358</v>
      </c>
      <c r="G268" s="423">
        <v>32.72</v>
      </c>
      <c r="H268" s="362">
        <v>2.0699999999999998</v>
      </c>
      <c r="I268" s="1004">
        <v>32.950000000000003</v>
      </c>
      <c r="J268" s="1005">
        <v>2.08</v>
      </c>
      <c r="L268" s="453"/>
      <c r="M268" s="453"/>
    </row>
    <row r="269" spans="1:13" ht="12.6" thickBot="1">
      <c r="A269" s="336" t="s">
        <v>713</v>
      </c>
      <c r="B269" s="433" t="s">
        <v>300</v>
      </c>
      <c r="C269" s="433" t="s">
        <v>355</v>
      </c>
      <c r="D269" s="379" t="s">
        <v>356</v>
      </c>
      <c r="E269" s="378" t="s">
        <v>359</v>
      </c>
      <c r="F269" s="378" t="s">
        <v>358</v>
      </c>
      <c r="G269" s="434">
        <v>467.01</v>
      </c>
      <c r="H269" s="380">
        <v>2.0699999999999998</v>
      </c>
      <c r="I269" s="1006">
        <v>470.28</v>
      </c>
      <c r="J269" s="1007">
        <v>2.08</v>
      </c>
      <c r="L269" s="453"/>
      <c r="M269" s="453"/>
    </row>
    <row r="270" spans="1:13">
      <c r="A270" s="336" t="s">
        <v>335</v>
      </c>
      <c r="B270" s="356"/>
      <c r="C270" s="356" t="s">
        <v>335</v>
      </c>
      <c r="D270" s="356"/>
      <c r="E270" s="356"/>
      <c r="F270" s="356"/>
    </row>
    <row r="271" spans="1:13">
      <c r="A271" s="336" t="s">
        <v>336</v>
      </c>
      <c r="B271" s="356"/>
      <c r="C271" s="356" t="s">
        <v>336</v>
      </c>
      <c r="D271" s="356"/>
      <c r="E271" s="356"/>
      <c r="F271" s="356"/>
    </row>
    <row r="272" spans="1:13">
      <c r="A272" s="336" t="s">
        <v>360</v>
      </c>
      <c r="B272" s="356"/>
      <c r="C272" s="356" t="s">
        <v>360</v>
      </c>
      <c r="D272" s="356"/>
      <c r="E272" s="356"/>
      <c r="F272" s="356"/>
    </row>
    <row r="273" spans="1:13">
      <c r="A273" s="336" t="s">
        <v>337</v>
      </c>
      <c r="B273" s="356"/>
      <c r="C273" s="356" t="s">
        <v>337</v>
      </c>
      <c r="D273" s="356"/>
      <c r="E273" s="356"/>
      <c r="F273" s="356"/>
    </row>
    <row r="274" spans="1:13" ht="12" thickBot="1">
      <c r="A274" s="336" t="s">
        <v>734</v>
      </c>
      <c r="B274" s="356"/>
      <c r="C274" s="356"/>
      <c r="D274" s="356"/>
      <c r="E274" s="356"/>
      <c r="F274" s="356"/>
    </row>
    <row r="275" spans="1:13" ht="12.6" thickBot="1">
      <c r="A275" s="336" t="s">
        <v>361</v>
      </c>
      <c r="B275" s="337"/>
      <c r="C275" s="340" t="s">
        <v>361</v>
      </c>
      <c r="D275" s="435"/>
      <c r="E275" s="436"/>
      <c r="F275" s="436"/>
      <c r="G275" s="437" t="s">
        <v>362</v>
      </c>
      <c r="H275" s="437"/>
      <c r="I275" s="458" t="s">
        <v>282</v>
      </c>
      <c r="J275" s="455"/>
    </row>
    <row r="276" spans="1:13" ht="12">
      <c r="A276" s="336" t="s">
        <v>758</v>
      </c>
      <c r="B276" s="410" t="s">
        <v>283</v>
      </c>
      <c r="C276" s="390" t="s">
        <v>211</v>
      </c>
      <c r="D276" s="391" t="s">
        <v>212</v>
      </c>
      <c r="E276" s="390" t="s">
        <v>213</v>
      </c>
      <c r="F276" s="390" t="s">
        <v>214</v>
      </c>
      <c r="G276" s="393" t="s">
        <v>127</v>
      </c>
      <c r="H276" s="392" t="s">
        <v>215</v>
      </c>
      <c r="I276" s="350" t="s">
        <v>127</v>
      </c>
      <c r="J276" s="351" t="s">
        <v>215</v>
      </c>
    </row>
    <row r="277" spans="1:13" ht="12">
      <c r="A277" s="336" t="s">
        <v>563</v>
      </c>
      <c r="B277" s="359"/>
      <c r="C277" s="417" t="s">
        <v>361</v>
      </c>
      <c r="D277" s="417" t="s">
        <v>343</v>
      </c>
      <c r="E277" s="417" t="s">
        <v>363</v>
      </c>
      <c r="F277" s="417"/>
      <c r="G277" s="358">
        <v>743.21</v>
      </c>
      <c r="H277" s="396"/>
      <c r="I277" s="1004">
        <v>748.42</v>
      </c>
      <c r="J277" s="1005"/>
      <c r="L277" s="453"/>
      <c r="M277" s="453"/>
    </row>
    <row r="278" spans="1:13" ht="12">
      <c r="A278" s="336" t="s">
        <v>562</v>
      </c>
      <c r="B278" s="359"/>
      <c r="C278" s="360" t="s">
        <v>361</v>
      </c>
      <c r="D278" s="360" t="s">
        <v>4</v>
      </c>
      <c r="E278" s="360" t="s">
        <v>363</v>
      </c>
      <c r="F278" s="360"/>
      <c r="G278" s="358"/>
      <c r="H278" s="396">
        <v>29.22</v>
      </c>
      <c r="I278" s="1004"/>
      <c r="J278" s="1005">
        <v>29.43</v>
      </c>
      <c r="L278" s="453"/>
      <c r="M278" s="453"/>
    </row>
    <row r="279" spans="1:13" ht="12">
      <c r="A279" s="336" t="s">
        <v>849</v>
      </c>
      <c r="B279" s="359"/>
      <c r="C279" s="360" t="s">
        <v>361</v>
      </c>
      <c r="D279" s="360" t="s">
        <v>343</v>
      </c>
      <c r="E279" s="360" t="s">
        <v>364</v>
      </c>
      <c r="F279" s="360"/>
      <c r="G279" s="358">
        <v>424.69</v>
      </c>
      <c r="H279" s="396"/>
      <c r="I279" s="1004">
        <v>427.67</v>
      </c>
      <c r="J279" s="1005"/>
      <c r="L279" s="453"/>
      <c r="M279" s="453"/>
    </row>
    <row r="280" spans="1:13" ht="12">
      <c r="A280" s="336" t="s">
        <v>850</v>
      </c>
      <c r="B280" s="359"/>
      <c r="C280" s="360" t="s">
        <v>361</v>
      </c>
      <c r="D280" s="360" t="s">
        <v>343</v>
      </c>
      <c r="E280" s="360" t="s">
        <v>365</v>
      </c>
      <c r="F280" s="360"/>
      <c r="G280" s="358">
        <v>424.69</v>
      </c>
      <c r="H280" s="396"/>
      <c r="I280" s="1004">
        <v>427.67</v>
      </c>
      <c r="J280" s="1005"/>
      <c r="L280" s="453"/>
      <c r="M280" s="453"/>
    </row>
    <row r="281" spans="1:13" ht="12">
      <c r="A281" s="336" t="s">
        <v>851</v>
      </c>
      <c r="B281" s="359"/>
      <c r="C281" s="360" t="s">
        <v>361</v>
      </c>
      <c r="D281" s="360" t="s">
        <v>343</v>
      </c>
      <c r="E281" s="360" t="s">
        <v>366</v>
      </c>
      <c r="F281" s="360"/>
      <c r="G281" s="358">
        <v>998.02</v>
      </c>
      <c r="H281" s="396"/>
      <c r="I281" s="1004">
        <v>1005.01</v>
      </c>
      <c r="J281" s="1005"/>
      <c r="L281" s="453"/>
      <c r="M281" s="453"/>
    </row>
    <row r="282" spans="1:13" ht="12">
      <c r="A282" s="336" t="s">
        <v>852</v>
      </c>
      <c r="B282" s="359"/>
      <c r="C282" s="360" t="s">
        <v>361</v>
      </c>
      <c r="D282" s="360" t="s">
        <v>4</v>
      </c>
      <c r="E282" s="360" t="s">
        <v>366</v>
      </c>
      <c r="F282" s="360"/>
      <c r="G282" s="358"/>
      <c r="H282" s="396">
        <v>53.6</v>
      </c>
      <c r="I282" s="1004"/>
      <c r="J282" s="1005">
        <v>53.97</v>
      </c>
      <c r="L282" s="453"/>
      <c r="M282" s="453"/>
    </row>
    <row r="283" spans="1:13" ht="12">
      <c r="A283" s="336" t="s">
        <v>853</v>
      </c>
      <c r="B283" s="359"/>
      <c r="C283" s="360" t="s">
        <v>361</v>
      </c>
      <c r="D283" s="360" t="s">
        <v>343</v>
      </c>
      <c r="E283" s="360" t="s">
        <v>367</v>
      </c>
      <c r="F283" s="360"/>
      <c r="G283" s="358">
        <v>2548.14</v>
      </c>
      <c r="H283" s="396"/>
      <c r="I283" s="1004">
        <v>2565.9899999999998</v>
      </c>
      <c r="J283" s="1005"/>
      <c r="L283" s="453"/>
      <c r="M283" s="453"/>
    </row>
    <row r="284" spans="1:13" ht="12">
      <c r="A284" s="336" t="s">
        <v>854</v>
      </c>
      <c r="B284" s="359"/>
      <c r="C284" s="360" t="s">
        <v>361</v>
      </c>
      <c r="D284" s="360" t="s">
        <v>343</v>
      </c>
      <c r="E284" s="360" t="s">
        <v>368</v>
      </c>
      <c r="F284" s="360"/>
      <c r="G284" s="358">
        <v>3822.2</v>
      </c>
      <c r="H284" s="396"/>
      <c r="I284" s="1004">
        <v>3848.98</v>
      </c>
      <c r="J284" s="1005"/>
      <c r="L284" s="453"/>
      <c r="M284" s="453"/>
    </row>
    <row r="285" spans="1:13" ht="12">
      <c r="A285" s="336" t="s">
        <v>855</v>
      </c>
      <c r="B285" s="359"/>
      <c r="C285" s="360" t="s">
        <v>361</v>
      </c>
      <c r="D285" s="360" t="s">
        <v>343</v>
      </c>
      <c r="E285" s="360" t="s">
        <v>369</v>
      </c>
      <c r="F285" s="360"/>
      <c r="G285" s="358">
        <v>371.62</v>
      </c>
      <c r="H285" s="396"/>
      <c r="I285" s="1004">
        <v>374.22</v>
      </c>
      <c r="J285" s="1005"/>
      <c r="L285" s="453"/>
      <c r="M285" s="453"/>
    </row>
    <row r="286" spans="1:13" ht="12.6" thickBot="1">
      <c r="A286" s="336" t="s">
        <v>856</v>
      </c>
      <c r="B286" s="377"/>
      <c r="C286" s="378" t="s">
        <v>361</v>
      </c>
      <c r="D286" s="378" t="s">
        <v>343</v>
      </c>
      <c r="E286" s="378" t="s">
        <v>370</v>
      </c>
      <c r="F286" s="378"/>
      <c r="G286" s="381">
        <v>494.57274999999993</v>
      </c>
      <c r="H286" s="407"/>
      <c r="I286" s="1006">
        <v>498.04</v>
      </c>
      <c r="J286" s="1011"/>
      <c r="L286" s="453"/>
      <c r="M286" s="453"/>
    </row>
    <row r="287" spans="1:13" ht="12" thickBot="1">
      <c r="A287" s="336" t="s">
        <v>734</v>
      </c>
      <c r="B287" s="438"/>
      <c r="C287" s="438"/>
      <c r="D287" s="438"/>
      <c r="E287" s="438"/>
      <c r="F287" s="438"/>
      <c r="G287" s="356"/>
      <c r="H287" s="356"/>
      <c r="L287" s="453"/>
      <c r="M287" s="453"/>
    </row>
    <row r="288" spans="1:13" ht="12.6" thickBot="1">
      <c r="A288" s="336" t="s">
        <v>371</v>
      </c>
      <c r="B288" s="337"/>
      <c r="C288" s="340" t="s">
        <v>371</v>
      </c>
      <c r="D288" s="435"/>
      <c r="E288" s="436"/>
      <c r="F288" s="436"/>
      <c r="G288" s="437" t="s">
        <v>362</v>
      </c>
      <c r="H288" s="437"/>
      <c r="I288" s="458" t="s">
        <v>282</v>
      </c>
      <c r="J288" s="457"/>
      <c r="L288" s="453"/>
      <c r="M288" s="453"/>
    </row>
    <row r="289" spans="1:13" ht="12">
      <c r="A289" s="336" t="s">
        <v>758</v>
      </c>
      <c r="B289" s="350" t="s">
        <v>283</v>
      </c>
      <c r="C289" s="349" t="s">
        <v>211</v>
      </c>
      <c r="D289" s="349" t="s">
        <v>212</v>
      </c>
      <c r="E289" s="346" t="s">
        <v>213</v>
      </c>
      <c r="F289" s="349" t="s">
        <v>214</v>
      </c>
      <c r="G289" s="415" t="s">
        <v>127</v>
      </c>
      <c r="H289" s="415" t="s">
        <v>215</v>
      </c>
      <c r="I289" s="439" t="s">
        <v>127</v>
      </c>
      <c r="J289" s="427" t="s">
        <v>215</v>
      </c>
      <c r="L289" s="453"/>
      <c r="M289" s="453"/>
    </row>
    <row r="290" spans="1:13" ht="12">
      <c r="A290" s="336" t="s">
        <v>572</v>
      </c>
      <c r="B290" s="440"/>
      <c r="C290" s="360" t="s">
        <v>371</v>
      </c>
      <c r="D290" s="360" t="s">
        <v>343</v>
      </c>
      <c r="E290" s="360"/>
      <c r="F290" s="360" t="s">
        <v>372</v>
      </c>
      <c r="G290" s="358">
        <v>1274.07</v>
      </c>
      <c r="H290" s="396"/>
      <c r="I290" s="1014">
        <v>1282.99</v>
      </c>
      <c r="J290" s="1015"/>
      <c r="L290" s="453"/>
      <c r="M290" s="453"/>
    </row>
    <row r="291" spans="1:13" ht="12">
      <c r="A291" s="336" t="s">
        <v>857</v>
      </c>
      <c r="B291" s="366"/>
      <c r="C291" s="360" t="s">
        <v>371</v>
      </c>
      <c r="D291" s="360" t="s">
        <v>4</v>
      </c>
      <c r="E291" s="360" t="s">
        <v>363</v>
      </c>
      <c r="F291" s="360" t="s">
        <v>372</v>
      </c>
      <c r="G291" s="358"/>
      <c r="H291" s="396">
        <v>95.56</v>
      </c>
      <c r="I291" s="1004"/>
      <c r="J291" s="1005">
        <v>96.23</v>
      </c>
      <c r="L291" s="453"/>
      <c r="M291" s="453"/>
    </row>
    <row r="292" spans="1:13" ht="12">
      <c r="A292" s="336" t="s">
        <v>571</v>
      </c>
      <c r="B292" s="366"/>
      <c r="C292" s="360" t="s">
        <v>371</v>
      </c>
      <c r="D292" s="360" t="s">
        <v>4</v>
      </c>
      <c r="E292" s="360" t="s">
        <v>373</v>
      </c>
      <c r="F292" s="360" t="s">
        <v>372</v>
      </c>
      <c r="G292" s="358"/>
      <c r="H292" s="396">
        <v>191.11</v>
      </c>
      <c r="I292" s="1004"/>
      <c r="J292" s="1005">
        <v>192.45</v>
      </c>
      <c r="L292" s="453"/>
      <c r="M292" s="453"/>
    </row>
    <row r="293" spans="1:13" ht="12">
      <c r="A293" s="336" t="s">
        <v>858</v>
      </c>
      <c r="B293" s="366"/>
      <c r="C293" s="360" t="s">
        <v>371</v>
      </c>
      <c r="D293" s="360" t="s">
        <v>4</v>
      </c>
      <c r="E293" s="360" t="s">
        <v>374</v>
      </c>
      <c r="F293" s="360" t="s">
        <v>372</v>
      </c>
      <c r="G293" s="358"/>
      <c r="H293" s="396">
        <v>382.22</v>
      </c>
      <c r="I293" s="1004"/>
      <c r="J293" s="1005">
        <v>384.89</v>
      </c>
      <c r="L293" s="453"/>
      <c r="M293" s="453"/>
    </row>
    <row r="294" spans="1:13" ht="12">
      <c r="A294" s="336" t="s">
        <v>859</v>
      </c>
      <c r="B294" s="366"/>
      <c r="C294" s="360" t="s">
        <v>371</v>
      </c>
      <c r="D294" s="360" t="s">
        <v>4</v>
      </c>
      <c r="E294" s="360" t="s">
        <v>375</v>
      </c>
      <c r="F294" s="360" t="s">
        <v>372</v>
      </c>
      <c r="G294" s="358"/>
      <c r="H294" s="396">
        <v>764.44</v>
      </c>
      <c r="I294" s="1004"/>
      <c r="J294" s="1005">
        <v>769.8</v>
      </c>
      <c r="L294" s="453"/>
      <c r="M294" s="453"/>
    </row>
    <row r="295" spans="1:13" ht="12">
      <c r="A295" s="336" t="s">
        <v>860</v>
      </c>
      <c r="B295" s="366" t="s">
        <v>284</v>
      </c>
      <c r="C295" s="360" t="s">
        <v>371</v>
      </c>
      <c r="D295" s="360" t="s">
        <v>343</v>
      </c>
      <c r="E295" s="360" t="s">
        <v>376</v>
      </c>
      <c r="F295" s="360" t="s">
        <v>372</v>
      </c>
      <c r="G295" s="358">
        <v>849.39</v>
      </c>
      <c r="H295" s="396"/>
      <c r="I295" s="1004">
        <v>855.34</v>
      </c>
      <c r="J295" s="1005"/>
      <c r="L295" s="453"/>
      <c r="M295" s="453"/>
    </row>
    <row r="296" spans="1:13" ht="12">
      <c r="A296" s="336" t="s">
        <v>861</v>
      </c>
      <c r="B296" s="359" t="s">
        <v>288</v>
      </c>
      <c r="C296" s="360" t="s">
        <v>371</v>
      </c>
      <c r="D296" s="360" t="s">
        <v>4</v>
      </c>
      <c r="E296" s="360" t="s">
        <v>377</v>
      </c>
      <c r="F296" s="360" t="s">
        <v>378</v>
      </c>
      <c r="G296" s="358"/>
      <c r="H296" s="396">
        <v>26.21</v>
      </c>
      <c r="I296" s="1004"/>
      <c r="J296" s="1005">
        <v>26.4</v>
      </c>
      <c r="L296" s="453"/>
      <c r="M296" s="453"/>
    </row>
    <row r="297" spans="1:13" ht="12.6" thickBot="1">
      <c r="A297" s="336" t="s">
        <v>862</v>
      </c>
      <c r="B297" s="377" t="s">
        <v>288</v>
      </c>
      <c r="C297" s="378" t="s">
        <v>371</v>
      </c>
      <c r="D297" s="378" t="s">
        <v>4</v>
      </c>
      <c r="E297" s="378" t="s">
        <v>379</v>
      </c>
      <c r="F297" s="378" t="s">
        <v>378</v>
      </c>
      <c r="G297" s="381"/>
      <c r="H297" s="407">
        <v>37.44</v>
      </c>
      <c r="I297" s="1006"/>
      <c r="J297" s="1007">
        <v>37.700000000000003</v>
      </c>
      <c r="L297" s="453"/>
      <c r="M297" s="453"/>
    </row>
    <row r="298" spans="1:13">
      <c r="A298" s="336" t="s">
        <v>380</v>
      </c>
      <c r="B298" s="356"/>
      <c r="C298" s="356" t="s">
        <v>380</v>
      </c>
      <c r="D298" s="356"/>
      <c r="E298" s="356"/>
      <c r="F298" s="356"/>
      <c r="G298" s="361"/>
      <c r="H298" s="361"/>
      <c r="L298" s="453"/>
      <c r="M298" s="453"/>
    </row>
    <row r="299" spans="1:13">
      <c r="A299" s="336" t="s">
        <v>381</v>
      </c>
      <c r="B299" s="356"/>
      <c r="C299" s="356" t="s">
        <v>381</v>
      </c>
      <c r="D299" s="356"/>
      <c r="E299" s="356"/>
      <c r="F299" s="356"/>
      <c r="G299" s="361"/>
      <c r="H299" s="361"/>
      <c r="L299" s="453"/>
      <c r="M299" s="453"/>
    </row>
    <row r="300" spans="1:13" ht="12" thickBot="1">
      <c r="A300" s="336" t="s">
        <v>734</v>
      </c>
      <c r="B300" s="356"/>
      <c r="C300" s="356"/>
      <c r="D300" s="356"/>
      <c r="E300" s="356"/>
      <c r="F300" s="356"/>
      <c r="G300" s="356"/>
      <c r="H300" s="356"/>
      <c r="L300" s="453"/>
      <c r="M300" s="453"/>
    </row>
    <row r="301" spans="1:13" ht="27" customHeight="1" thickBot="1">
      <c r="A301" s="336" t="s">
        <v>382</v>
      </c>
      <c r="B301" s="421"/>
      <c r="C301" s="386" t="s">
        <v>382</v>
      </c>
      <c r="D301" s="344"/>
      <c r="E301" s="387"/>
      <c r="F301" s="387"/>
      <c r="G301" s="441" t="s">
        <v>362</v>
      </c>
      <c r="H301" s="441"/>
      <c r="I301" s="458" t="s">
        <v>282</v>
      </c>
      <c r="J301" s="457"/>
      <c r="L301" s="453"/>
      <c r="M301" s="453"/>
    </row>
    <row r="302" spans="1:13" ht="12">
      <c r="A302" s="336" t="s">
        <v>758</v>
      </c>
      <c r="B302" s="350" t="s">
        <v>283</v>
      </c>
      <c r="C302" s="346" t="s">
        <v>211</v>
      </c>
      <c r="D302" s="349" t="s">
        <v>212</v>
      </c>
      <c r="E302" s="346" t="s">
        <v>213</v>
      </c>
      <c r="F302" s="346" t="s">
        <v>214</v>
      </c>
      <c r="G302" s="415" t="s">
        <v>127</v>
      </c>
      <c r="H302" s="442" t="s">
        <v>215</v>
      </c>
      <c r="I302" s="439" t="s">
        <v>127</v>
      </c>
      <c r="J302" s="427" t="s">
        <v>215</v>
      </c>
      <c r="L302" s="453"/>
      <c r="M302" s="453"/>
    </row>
    <row r="303" spans="1:13" ht="12">
      <c r="A303" s="336" t="s">
        <v>863</v>
      </c>
      <c r="B303" s="359"/>
      <c r="C303" s="417" t="s">
        <v>217</v>
      </c>
      <c r="D303" s="417" t="s">
        <v>343</v>
      </c>
      <c r="E303" s="417"/>
      <c r="F303" s="418"/>
      <c r="G303" s="358">
        <v>2123.4499999999998</v>
      </c>
      <c r="H303" s="396"/>
      <c r="I303" s="1015">
        <v>2138.33</v>
      </c>
      <c r="J303" s="1015"/>
      <c r="L303" s="453"/>
      <c r="M303" s="453"/>
    </row>
    <row r="304" spans="1:13" ht="12">
      <c r="A304" s="336" t="s">
        <v>864</v>
      </c>
      <c r="B304" s="359"/>
      <c r="C304" s="360" t="s">
        <v>305</v>
      </c>
      <c r="D304" s="360" t="s">
        <v>383</v>
      </c>
      <c r="E304" s="360"/>
      <c r="F304" s="419"/>
      <c r="G304" s="358">
        <v>2123.4499999999998</v>
      </c>
      <c r="H304" s="396"/>
      <c r="I304" s="1005">
        <v>2138.33</v>
      </c>
      <c r="J304" s="1005"/>
      <c r="L304" s="453"/>
      <c r="M304" s="453"/>
    </row>
    <row r="305" spans="1:13" ht="12">
      <c r="A305" s="336" t="s">
        <v>865</v>
      </c>
      <c r="B305" s="359"/>
      <c r="C305" s="360" t="s">
        <v>384</v>
      </c>
      <c r="D305" s="360" t="s">
        <v>4</v>
      </c>
      <c r="E305" s="360"/>
      <c r="F305" s="419"/>
      <c r="G305" s="358"/>
      <c r="H305" s="396">
        <v>424.69</v>
      </c>
      <c r="I305" s="1005"/>
      <c r="J305" s="1005">
        <v>427.67</v>
      </c>
      <c r="L305" s="453"/>
      <c r="M305" s="453"/>
    </row>
    <row r="306" spans="1:13" ht="12.6" thickBot="1">
      <c r="A306" s="336" t="s">
        <v>866</v>
      </c>
      <c r="B306" s="377"/>
      <c r="C306" s="378" t="s">
        <v>385</v>
      </c>
      <c r="D306" s="378" t="s">
        <v>4</v>
      </c>
      <c r="E306" s="378"/>
      <c r="F306" s="443"/>
      <c r="G306" s="381"/>
      <c r="H306" s="407">
        <v>148.65</v>
      </c>
      <c r="I306" s="1007"/>
      <c r="J306" s="1007">
        <v>149.69</v>
      </c>
      <c r="L306" s="453"/>
      <c r="M306" s="453"/>
    </row>
    <row r="307" spans="1:13" ht="12" thickBot="1">
      <c r="A307" s="336" t="s">
        <v>734</v>
      </c>
      <c r="B307" s="356"/>
      <c r="C307" s="356"/>
      <c r="D307" s="356"/>
      <c r="E307" s="356"/>
      <c r="F307" s="356"/>
      <c r="G307" s="356"/>
      <c r="H307" s="356"/>
      <c r="L307" s="453"/>
      <c r="M307" s="453"/>
    </row>
    <row r="308" spans="1:13" ht="12.6" thickBot="1">
      <c r="A308" s="336" t="s">
        <v>386</v>
      </c>
      <c r="B308" s="421"/>
      <c r="C308" s="386" t="s">
        <v>386</v>
      </c>
      <c r="D308" s="344"/>
      <c r="E308" s="387"/>
      <c r="F308" s="387"/>
      <c r="G308" s="422" t="s">
        <v>362</v>
      </c>
      <c r="H308" s="422"/>
      <c r="I308" s="458" t="s">
        <v>282</v>
      </c>
      <c r="J308" s="455"/>
      <c r="L308" s="453"/>
      <c r="M308" s="453"/>
    </row>
    <row r="309" spans="1:13" ht="12">
      <c r="A309" s="336" t="s">
        <v>758</v>
      </c>
      <c r="B309" s="410" t="s">
        <v>283</v>
      </c>
      <c r="C309" s="391" t="s">
        <v>211</v>
      </c>
      <c r="D309" s="391" t="s">
        <v>212</v>
      </c>
      <c r="E309" s="390" t="s">
        <v>213</v>
      </c>
      <c r="F309" s="390" t="s">
        <v>214</v>
      </c>
      <c r="G309" s="393" t="s">
        <v>127</v>
      </c>
      <c r="H309" s="392" t="s">
        <v>215</v>
      </c>
      <c r="I309" s="350" t="s">
        <v>127</v>
      </c>
      <c r="J309" s="351" t="s">
        <v>215</v>
      </c>
      <c r="L309" s="453"/>
      <c r="M309" s="453"/>
    </row>
    <row r="310" spans="1:13" ht="12">
      <c r="A310" s="336" t="s">
        <v>690</v>
      </c>
      <c r="B310" s="359" t="s">
        <v>284</v>
      </c>
      <c r="C310" s="360" t="s">
        <v>386</v>
      </c>
      <c r="D310" s="360" t="s">
        <v>343</v>
      </c>
      <c r="E310" s="360" t="s">
        <v>387</v>
      </c>
      <c r="F310" s="419" t="s">
        <v>388</v>
      </c>
      <c r="G310" s="358">
        <v>998.02</v>
      </c>
      <c r="H310" s="396"/>
      <c r="I310" s="1014">
        <v>1005.01</v>
      </c>
      <c r="J310" s="1015"/>
      <c r="L310" s="453"/>
      <c r="M310" s="453"/>
    </row>
    <row r="311" spans="1:13" ht="12">
      <c r="A311" s="336" t="s">
        <v>689</v>
      </c>
      <c r="B311" s="359" t="s">
        <v>284</v>
      </c>
      <c r="C311" s="360" t="s">
        <v>386</v>
      </c>
      <c r="D311" s="360" t="s">
        <v>4</v>
      </c>
      <c r="E311" s="360" t="s">
        <v>389</v>
      </c>
      <c r="F311" s="419"/>
      <c r="G311" s="358"/>
      <c r="H311" s="396">
        <v>29.22</v>
      </c>
      <c r="I311" s="1004"/>
      <c r="J311" s="1005">
        <v>29.43</v>
      </c>
      <c r="L311" s="453"/>
      <c r="M311" s="453"/>
    </row>
    <row r="312" spans="1:13" ht="12">
      <c r="A312" s="336" t="s">
        <v>691</v>
      </c>
      <c r="B312" s="359" t="s">
        <v>284</v>
      </c>
      <c r="C312" s="360" t="s">
        <v>386</v>
      </c>
      <c r="D312" s="360" t="s">
        <v>291</v>
      </c>
      <c r="E312" s="360" t="s">
        <v>390</v>
      </c>
      <c r="F312" s="419" t="s">
        <v>391</v>
      </c>
      <c r="G312" s="358">
        <v>16.39</v>
      </c>
      <c r="H312" s="396"/>
      <c r="I312" s="1004">
        <v>16.510000000000002</v>
      </c>
      <c r="J312" s="1005"/>
      <c r="L312" s="453"/>
      <c r="M312" s="453"/>
    </row>
    <row r="313" spans="1:13" ht="12.6" thickBot="1">
      <c r="A313" s="336" t="s">
        <v>692</v>
      </c>
      <c r="B313" s="433" t="s">
        <v>284</v>
      </c>
      <c r="C313" s="378" t="s">
        <v>386</v>
      </c>
      <c r="D313" s="378" t="s">
        <v>291</v>
      </c>
      <c r="E313" s="404" t="s">
        <v>392</v>
      </c>
      <c r="F313" s="443" t="s">
        <v>393</v>
      </c>
      <c r="G313" s="381">
        <v>168.04</v>
      </c>
      <c r="H313" s="407"/>
      <c r="I313" s="1006">
        <v>169.22</v>
      </c>
      <c r="J313" s="1007"/>
      <c r="L313" s="453"/>
      <c r="M313" s="453"/>
    </row>
    <row r="314" spans="1:13" ht="12" thickBot="1">
      <c r="C314" s="356" t="s">
        <v>394</v>
      </c>
    </row>
    <row r="315" spans="1:13" ht="18" thickBot="1">
      <c r="B315" s="975"/>
      <c r="C315" s="976" t="s">
        <v>1288</v>
      </c>
      <c r="D315" s="977"/>
      <c r="E315" s="978"/>
      <c r="F315" s="978"/>
      <c r="G315" s="979" t="s">
        <v>362</v>
      </c>
      <c r="H315" s="979"/>
      <c r="I315" s="980" t="s">
        <v>282</v>
      </c>
      <c r="J315" s="981"/>
    </row>
    <row r="316" spans="1:13" ht="13.2">
      <c r="B316" s="982" t="s">
        <v>283</v>
      </c>
      <c r="C316" s="983" t="s">
        <v>211</v>
      </c>
      <c r="D316" s="983" t="s">
        <v>212</v>
      </c>
      <c r="E316" s="984" t="s">
        <v>213</v>
      </c>
      <c r="F316" s="984" t="s">
        <v>214</v>
      </c>
      <c r="G316" s="985" t="s">
        <v>127</v>
      </c>
      <c r="H316" s="986" t="s">
        <v>215</v>
      </c>
      <c r="I316" s="987" t="s">
        <v>127</v>
      </c>
      <c r="J316" s="988" t="s">
        <v>215</v>
      </c>
    </row>
    <row r="317" spans="1:13" ht="15" thickBot="1">
      <c r="B317" s="989" t="s">
        <v>284</v>
      </c>
      <c r="C317" s="990" t="s">
        <v>1288</v>
      </c>
      <c r="D317" s="991"/>
      <c r="E317" s="992" t="s">
        <v>251</v>
      </c>
      <c r="F317" s="993" t="s">
        <v>1289</v>
      </c>
      <c r="G317" s="994">
        <v>-39.79</v>
      </c>
      <c r="H317" s="995"/>
      <c r="I317" s="1018">
        <v>-39.83</v>
      </c>
      <c r="J317" s="1019"/>
    </row>
    <row r="318" spans="1:13" ht="14.4">
      <c r="B318" s="996"/>
      <c r="C318" s="996"/>
      <c r="D318" s="996"/>
      <c r="E318" s="996"/>
      <c r="F318" s="996"/>
      <c r="G318" s="996"/>
      <c r="H318" s="996"/>
      <c r="I318" s="997"/>
      <c r="J318" s="997"/>
    </row>
    <row r="319" spans="1:13" ht="14.4">
      <c r="B319" s="1041" t="s">
        <v>1290</v>
      </c>
      <c r="C319" s="1041"/>
      <c r="D319" s="1041"/>
      <c r="E319" s="1041"/>
      <c r="F319" s="1041"/>
      <c r="G319" s="1041"/>
      <c r="H319" s="1041"/>
      <c r="I319" s="1041"/>
      <c r="J319" s="1041"/>
    </row>
  </sheetData>
  <mergeCells count="15">
    <mergeCell ref="B66:F66"/>
    <mergeCell ref="G66:H66"/>
    <mergeCell ref="G4:H4"/>
    <mergeCell ref="B62:H62"/>
    <mergeCell ref="B63:H63"/>
    <mergeCell ref="B64:J64"/>
    <mergeCell ref="B65:H65"/>
    <mergeCell ref="B319:J319"/>
    <mergeCell ref="G216:H216"/>
    <mergeCell ref="B67:J67"/>
    <mergeCell ref="B68:J68"/>
    <mergeCell ref="B69:H69"/>
    <mergeCell ref="B70:H70"/>
    <mergeCell ref="G144:H144"/>
    <mergeCell ref="G192:H192"/>
  </mergeCells>
  <pageMargins left="0.7" right="0.7" top="0.75" bottom="0.75" header="0.3" footer="0.3"/>
  <pageSetup paperSize="9" scale="71" fitToHeight="0"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3"/>
  <dimension ref="A1:AK89"/>
  <sheetViews>
    <sheetView topLeftCell="B1" workbookViewId="0">
      <selection activeCell="G21" sqref="G21"/>
    </sheetView>
  </sheetViews>
  <sheetFormatPr defaultColWidth="9.109375" defaultRowHeight="12"/>
  <cols>
    <col min="1" max="2" width="55.6640625" style="4" bestFit="1" customWidth="1"/>
    <col min="3" max="3" width="26.44140625" style="4" bestFit="1" customWidth="1"/>
    <col min="4" max="4" width="21.6640625" style="4" bestFit="1" customWidth="1"/>
    <col min="5" max="5" width="8.109375" style="4" customWidth="1"/>
    <col min="6" max="6" width="8.5546875" style="4" bestFit="1" customWidth="1"/>
    <col min="7" max="7" width="15.6640625" style="4" bestFit="1" customWidth="1"/>
    <col min="8" max="8" width="11.88671875" style="4" bestFit="1" customWidth="1"/>
    <col min="9" max="9" width="23.88671875" style="4" bestFit="1" customWidth="1"/>
    <col min="10" max="10" width="35" style="96" bestFit="1" customWidth="1"/>
    <col min="11" max="11" width="41.88671875" style="96" bestFit="1" customWidth="1"/>
    <col min="12" max="12" width="9.5546875" style="4" customWidth="1"/>
    <col min="13" max="14" width="9.109375" style="4"/>
    <col min="15" max="15" width="10.88671875" style="4" customWidth="1"/>
    <col min="16" max="17" width="9.109375" style="4"/>
    <col min="18" max="18" width="10.44140625" style="4" customWidth="1"/>
    <col min="19" max="21" width="9.109375" style="4"/>
    <col min="22" max="22" width="11.44140625" style="4" customWidth="1"/>
    <col min="23" max="23" width="12.6640625" style="4" bestFit="1" customWidth="1"/>
    <col min="24" max="26" width="9.109375" style="4"/>
    <col min="27" max="27" width="13.109375" style="4" customWidth="1"/>
    <col min="28" max="33" width="9.109375" style="4"/>
    <col min="34" max="34" width="11.44140625" style="4" bestFit="1" customWidth="1"/>
    <col min="35" max="16384" width="9.109375" style="4"/>
  </cols>
  <sheetData>
    <row r="1" spans="1:37">
      <c r="A1" s="182"/>
      <c r="N1" s="180"/>
      <c r="Q1" s="4" t="s">
        <v>1133</v>
      </c>
      <c r="S1" s="4" t="s">
        <v>936</v>
      </c>
      <c r="X1" s="1062" t="s">
        <v>481</v>
      </c>
      <c r="Y1" s="1063"/>
      <c r="Z1" s="1064"/>
      <c r="AD1" s="96"/>
      <c r="AE1" s="96"/>
      <c r="AF1" s="96"/>
      <c r="AG1" s="96"/>
      <c r="AH1" s="96"/>
      <c r="AI1" s="96"/>
      <c r="AJ1" s="96"/>
      <c r="AK1" s="96"/>
    </row>
    <row r="2" spans="1:37" ht="14.4">
      <c r="C2" s="1053" t="s">
        <v>438</v>
      </c>
      <c r="D2" s="1054"/>
      <c r="E2" s="1054"/>
      <c r="F2" s="1054"/>
      <c r="G2" s="1054"/>
      <c r="H2" s="1054"/>
      <c r="I2" s="1055"/>
      <c r="J2" s="1056" t="s">
        <v>441</v>
      </c>
      <c r="K2" s="1057"/>
      <c r="L2" s="1058" t="s">
        <v>499</v>
      </c>
      <c r="M2" s="1059"/>
      <c r="N2" s="1059"/>
      <c r="O2" s="1059"/>
      <c r="P2" s="1060" t="s">
        <v>478</v>
      </c>
      <c r="Q2" s="1061"/>
      <c r="R2" s="1061"/>
      <c r="S2" s="1065" t="s">
        <v>511</v>
      </c>
      <c r="T2" s="1066"/>
      <c r="U2" s="1066"/>
      <c r="V2" s="1067"/>
      <c r="W2" s="176" t="s">
        <v>509</v>
      </c>
      <c r="X2" s="121"/>
      <c r="Y2" s="122"/>
      <c r="Z2" s="123"/>
      <c r="AD2" s="448" t="s">
        <v>1224</v>
      </c>
      <c r="AE2" s="96"/>
      <c r="AF2" s="96"/>
      <c r="AG2" s="96"/>
      <c r="AH2" s="961" t="s">
        <v>509</v>
      </c>
      <c r="AI2" s="96"/>
      <c r="AJ2" s="96"/>
      <c r="AK2" s="96"/>
    </row>
    <row r="3" spans="1:37" ht="48">
      <c r="A3" s="150" t="s">
        <v>435</v>
      </c>
      <c r="B3" s="116" t="s">
        <v>436</v>
      </c>
      <c r="C3" s="115" t="s">
        <v>7</v>
      </c>
      <c r="D3" s="115" t="s">
        <v>467</v>
      </c>
      <c r="E3" s="115" t="s">
        <v>489</v>
      </c>
      <c r="F3" s="115" t="s">
        <v>473</v>
      </c>
      <c r="G3" s="115" t="s">
        <v>437</v>
      </c>
      <c r="H3" s="115" t="s">
        <v>475</v>
      </c>
      <c r="I3" s="116" t="s">
        <v>474</v>
      </c>
      <c r="J3" s="491" t="s">
        <v>440</v>
      </c>
      <c r="K3" s="492" t="s">
        <v>439</v>
      </c>
      <c r="L3" s="1022" t="s">
        <v>486</v>
      </c>
      <c r="M3" s="1021" t="s">
        <v>476</v>
      </c>
      <c r="N3" s="1021" t="s">
        <v>477</v>
      </c>
      <c r="O3" s="1022" t="s">
        <v>487</v>
      </c>
      <c r="P3" s="127" t="s">
        <v>479</v>
      </c>
      <c r="Q3" s="469" t="s">
        <v>480</v>
      </c>
      <c r="R3" s="140" t="s">
        <v>485</v>
      </c>
      <c r="S3" s="162" t="s">
        <v>1136</v>
      </c>
      <c r="T3" s="163" t="s">
        <v>512</v>
      </c>
      <c r="U3" s="163" t="s">
        <v>513</v>
      </c>
      <c r="V3" s="174" t="s">
        <v>514</v>
      </c>
      <c r="W3" s="175" t="s">
        <v>515</v>
      </c>
      <c r="X3" s="124" t="s">
        <v>482</v>
      </c>
      <c r="Y3" s="125" t="s">
        <v>483</v>
      </c>
      <c r="Z3" s="126" t="s">
        <v>484</v>
      </c>
      <c r="AA3" s="330" t="s">
        <v>867</v>
      </c>
      <c r="AB3" s="196" t="s">
        <v>617</v>
      </c>
      <c r="AD3" s="1023" t="s">
        <v>1136</v>
      </c>
      <c r="AE3" s="1024" t="s">
        <v>512</v>
      </c>
      <c r="AF3" s="1024" t="s">
        <v>513</v>
      </c>
      <c r="AG3" s="1025" t="s">
        <v>514</v>
      </c>
      <c r="AH3" s="1020" t="s">
        <v>515</v>
      </c>
      <c r="AI3" s="1026" t="s">
        <v>482</v>
      </c>
      <c r="AJ3" s="1027" t="s">
        <v>483</v>
      </c>
      <c r="AK3" s="1028" t="s">
        <v>484</v>
      </c>
    </row>
    <row r="4" spans="1:37" ht="14.4">
      <c r="A4" s="182" t="str">
        <f t="shared" ref="A4:A21" si="0">C4&amp;D4&amp;E4&amp;G4</f>
        <v>KPN BelVrij Weekend CMPSTNVVE nieuwe aanleg</v>
      </c>
      <c r="B4" s="120" t="str">
        <f t="shared" ref="B4:B21" si="1">C4&amp;D4&amp;G4</f>
        <v>KPN BelVrij Weekend CMPSTNVVE nieuwe aanleg</v>
      </c>
      <c r="C4" s="133" t="s">
        <v>1277</v>
      </c>
      <c r="D4" s="133" t="s">
        <v>463</v>
      </c>
      <c r="E4" s="133"/>
      <c r="F4" s="133" t="s">
        <v>4</v>
      </c>
      <c r="G4" s="133" t="s">
        <v>458</v>
      </c>
      <c r="H4" s="133" t="str">
        <f t="shared" ref="H4:H21" si="2">D4&amp;F4</f>
        <v>PSTNVVA</v>
      </c>
      <c r="I4" s="120" t="str">
        <f t="shared" ref="I4:I21" si="3">D4&amp;G4</f>
        <v>PSTNVVE nieuwe aanleg</v>
      </c>
      <c r="J4" s="493" t="str">
        <f>IF(D4="","",INDEX(Mapping!$H:$H,MATCH($H4,Mapping!$B:$B,0)))</f>
        <v>PSTNVVA</v>
      </c>
      <c r="K4" s="494" t="str">
        <f>IF(D4="","",INDEX(Mapping!$H:$H,MATCH($I4,Mapping!$B:$B,0)))</f>
        <v>PSTNVVE nieuwe aanleg</v>
      </c>
      <c r="L4" s="649">
        <f>MATCH(C4&amp;D4&amp;E4,'Tarieven ZM'!$B:$B,0)</f>
        <v>8</v>
      </c>
      <c r="M4" s="213">
        <f>INDEX('Tarieven ZM'!$F:$F,'Rekenblad Aansluiting'!$L4)</f>
        <v>100</v>
      </c>
      <c r="N4" s="213">
        <f>INDEX('Tarieven ZM'!$G:$H,'Rekenblad Aansluiting'!$L4,MATCH($G4,'Tarieven ZM'!$G$4:$H$4))</f>
        <v>100</v>
      </c>
      <c r="O4" s="652">
        <f>M4+N4/Parameters!$B$9</f>
        <v>102.77777777777777</v>
      </c>
      <c r="P4" s="495">
        <f>IF('Rekenblad Aansluiting'!D4="",0,INDEX('inkoop aansluitingen obv ULL'!E:E,MATCH(K4,'inkoop aansluitingen obv ULL'!B:B,0)))</f>
        <v>9.2350886055555534</v>
      </c>
      <c r="Q4" s="142">
        <f>IF('Rekenblad Aansluiting'!D4="",0,INDEX('inkoop aansluitingen obv ULL'!F:F,MATCH(K4,'inkoop aansluitingen obv ULL'!B:B,0)))</f>
        <v>76.89</v>
      </c>
      <c r="R4" s="652">
        <f>P4+Q4/'Parameters ULL'!$E$10</f>
        <v>11.370921938888888</v>
      </c>
      <c r="S4" s="138">
        <f>IF(RIGHT(C4,2)="CM",O4*MAX(Parameters!$B$2:$B$4),O4*Parameters!$B$3)</f>
        <v>10.277777777777779</v>
      </c>
      <c r="T4" s="142">
        <f>IF(RIGHT(C4,2)="CM",0,IF(LEFT(C4,2)="TZ",(('Vergoedingen grondslag'!$F$20+'Vergoedingen grondslag'!$I$20+'Vergoedingen grondslag'!$L$20+'Vergoedingen grondslag'!$O$20)*(M4)+('Vergoedingen grondslag'!$O$20*'Rekenblad Aansluiting'!$N4+'Vergoedingen grondslag'!$R$20+'Vergoedingen grondslag'!$U$20)/Parameters!$B$9),(('Vergoedingen grondslag'!$F$11+'Vergoedingen grondslag'!$I$11+'Vergoedingen grondslag'!$L$11+'Vergoedingen grondslag'!$O$11)*(M4))+('Vergoedingen grondslag'!$O$11*'Rekenblad Aansluiting'!$N4+'Vergoedingen grondslag'!$R$11+'Vergoedingen grondslag'!$U$11+'Vergoedingen grondslag'!$X$11)/36))</f>
        <v>0</v>
      </c>
      <c r="U4" s="142">
        <f>M4*Parameters!$B$12</f>
        <v>0</v>
      </c>
      <c r="V4" s="136">
        <f t="shared" ref="V4:V21" si="4">SUM(S4:U4)</f>
        <v>10.277777777777779</v>
      </c>
      <c r="W4" s="142">
        <f t="shared" ref="W4:W21" si="5">R4+V4</f>
        <v>21.648699716666666</v>
      </c>
      <c r="X4" s="205">
        <f t="shared" ref="X4:X21" si="6">O4-W4</f>
        <v>81.129078061111102</v>
      </c>
      <c r="Y4" s="173">
        <f t="shared" ref="Y4:Y21" si="7">X4/O4</f>
        <v>0.78936400275675667</v>
      </c>
      <c r="Z4" s="120" t="b">
        <f t="shared" ref="Z4:Z21" si="8">Y4&lt;0</f>
        <v>0</v>
      </c>
      <c r="AA4" s="331" t="s">
        <v>868</v>
      </c>
      <c r="AB4" s="4">
        <v>0</v>
      </c>
      <c r="AD4" s="142"/>
      <c r="AE4" s="149"/>
      <c r="AF4" s="213"/>
      <c r="AG4" s="213"/>
      <c r="AH4" s="1029"/>
      <c r="AI4" s="1030"/>
      <c r="AJ4" s="173"/>
      <c r="AK4" s="133"/>
    </row>
    <row r="5" spans="1:37" ht="14.4">
      <c r="A5" s="182" t="str">
        <f t="shared" si="0"/>
        <v>KPN BelVrij Weekend CMISDN1VVE nieuwe aanleg</v>
      </c>
      <c r="B5" s="120" t="str">
        <f t="shared" si="1"/>
        <v>KPN BelVrij Weekend CMISDN1VVE nieuwe aanleg</v>
      </c>
      <c r="C5" s="133" t="s">
        <v>1277</v>
      </c>
      <c r="D5" s="133" t="s">
        <v>464</v>
      </c>
      <c r="E5" s="133"/>
      <c r="F5" s="133" t="s">
        <v>4</v>
      </c>
      <c r="G5" s="133" t="s">
        <v>458</v>
      </c>
      <c r="H5" s="133" t="str">
        <f t="shared" si="2"/>
        <v>ISDN1VVA</v>
      </c>
      <c r="I5" s="120" t="str">
        <f t="shared" si="3"/>
        <v>ISDN1VVE nieuwe aanleg</v>
      </c>
      <c r="J5" s="493" t="str">
        <f>IF(D5="","",INDEX(Mapping!$H:$H,MATCH($H5,Mapping!$B:$B,0)))</f>
        <v>ISDN1VVA</v>
      </c>
      <c r="K5" s="494" t="str">
        <f>IF(D5="","",INDEX(Mapping!$H:$H,MATCH($I5,Mapping!$B:$B,0)))</f>
        <v>ISDN1VVE nieuwe aanleg</v>
      </c>
      <c r="L5" s="649">
        <f>MATCH(C5&amp;D5&amp;E5,'Tarieven ZM'!$B:$B,0)</f>
        <v>9</v>
      </c>
      <c r="M5" s="213">
        <f>INDEX('Tarieven ZM'!$F:$F,'Rekenblad Aansluiting'!$L5)</f>
        <v>100</v>
      </c>
      <c r="N5" s="213">
        <f>INDEX('Tarieven ZM'!$G:$H,'Rekenblad Aansluiting'!$L5,MATCH($G5,'Tarieven ZM'!$G$4:$H$4))</f>
        <v>100</v>
      </c>
      <c r="O5" s="652">
        <f>M5+N5/Parameters!$B$9</f>
        <v>102.77777777777777</v>
      </c>
      <c r="P5" s="495">
        <f>IF('Rekenblad Aansluiting'!D5="",0,INDEX('inkoop aansluitingen obv ULL'!E:E,MATCH(K5,'inkoop aansluitingen obv ULL'!B:B,0)))</f>
        <v>9.2350886055555534</v>
      </c>
      <c r="Q5" s="142">
        <f>IF('Rekenblad Aansluiting'!D5="",0,INDEX('inkoop aansluitingen obv ULL'!F:F,MATCH(K5,'inkoop aansluitingen obv ULL'!B:B,0)))</f>
        <v>76.89</v>
      </c>
      <c r="R5" s="652">
        <f>P5+Q5/'Parameters ULL'!$E$10</f>
        <v>11.370921938888888</v>
      </c>
      <c r="S5" s="138">
        <f>IF(RIGHT(C5,2)="CM",O5*MAX(Parameters!$B$2:$B$4),O5*Parameters!$B$3)</f>
        <v>10.277777777777779</v>
      </c>
      <c r="T5" s="142">
        <f>IF(RIGHT(C5,2)="CM",0,IF(LEFT(C5,2)="TZ",(('Vergoedingen grondslag'!$F$20+'Vergoedingen grondslag'!$I$20+'Vergoedingen grondslag'!$L$20+'Vergoedingen grondslag'!$O$20)*(M5)+('Vergoedingen grondslag'!$O$20*'Rekenblad Aansluiting'!$N5+'Vergoedingen grondslag'!$R$20+'Vergoedingen grondslag'!$U$20)/Parameters!$B$9),(('Vergoedingen grondslag'!$F$11+'Vergoedingen grondslag'!$I$11+'Vergoedingen grondslag'!$L$11+'Vergoedingen grondslag'!$O$11)*(M5))+('Vergoedingen grondslag'!$O$11*'Rekenblad Aansluiting'!$N5+'Vergoedingen grondslag'!$R$11+'Vergoedingen grondslag'!$U$11+'Vergoedingen grondslag'!$X$11)/36))</f>
        <v>0</v>
      </c>
      <c r="U5" s="142">
        <f>M5*Parameters!$B$12</f>
        <v>0</v>
      </c>
      <c r="V5" s="136">
        <f t="shared" si="4"/>
        <v>10.277777777777779</v>
      </c>
      <c r="W5" s="142">
        <f t="shared" si="5"/>
        <v>21.648699716666666</v>
      </c>
      <c r="X5" s="205">
        <f t="shared" si="6"/>
        <v>81.129078061111102</v>
      </c>
      <c r="Y5" s="173">
        <f t="shared" si="7"/>
        <v>0.78936400275675667</v>
      </c>
      <c r="Z5" s="120" t="b">
        <f t="shared" si="8"/>
        <v>0</v>
      </c>
      <c r="AA5" s="331" t="s">
        <v>868</v>
      </c>
      <c r="AB5" s="4">
        <v>0</v>
      </c>
      <c r="AD5" s="142"/>
      <c r="AE5" s="149"/>
      <c r="AF5" s="213"/>
      <c r="AG5" s="213"/>
      <c r="AH5" s="1029"/>
      <c r="AI5" s="1030"/>
      <c r="AJ5" s="173"/>
      <c r="AK5" s="133"/>
    </row>
    <row r="6" spans="1:37" ht="14.4">
      <c r="A6" s="182" t="str">
        <f t="shared" si="0"/>
        <v>KPN BelVrij Weekend CMISDN2VVE nieuwe aanleg</v>
      </c>
      <c r="B6" s="120" t="str">
        <f t="shared" si="1"/>
        <v>KPN BelVrij Weekend CMISDN2VVE nieuwe aanleg</v>
      </c>
      <c r="C6" s="133" t="s">
        <v>1277</v>
      </c>
      <c r="D6" s="133" t="s">
        <v>465</v>
      </c>
      <c r="E6" s="133"/>
      <c r="F6" s="133" t="s">
        <v>4</v>
      </c>
      <c r="G6" s="133" t="s">
        <v>458</v>
      </c>
      <c r="H6" s="133" t="str">
        <f t="shared" si="2"/>
        <v>ISDN2VVA</v>
      </c>
      <c r="I6" s="120" t="str">
        <f t="shared" si="3"/>
        <v>ISDN2VVE nieuwe aanleg</v>
      </c>
      <c r="J6" s="493" t="str">
        <f>IF(D6="","",INDEX(Mapping!$H:$H,MATCH($H6,Mapping!$B:$B,0)))</f>
        <v>ISDN2VVA</v>
      </c>
      <c r="K6" s="494" t="str">
        <f>IF(D6="","",INDEX(Mapping!$H:$H,MATCH($I6,Mapping!$B:$B,0)))</f>
        <v>ISDN2VVE nieuwe aanleg</v>
      </c>
      <c r="L6" s="649">
        <f>MATCH(C6&amp;D6&amp;E6,'Tarieven ZM'!$B:$B,0)</f>
        <v>10</v>
      </c>
      <c r="M6" s="213">
        <f>INDEX('Tarieven ZM'!$F:$F,'Rekenblad Aansluiting'!$L6)</f>
        <v>100</v>
      </c>
      <c r="N6" s="213">
        <f>INDEX('Tarieven ZM'!$G:$H,'Rekenblad Aansluiting'!$L6,MATCH($G6,'Tarieven ZM'!$G$4:$H$4))</f>
        <v>100</v>
      </c>
      <c r="O6" s="652">
        <f>M6+N6/Parameters!$B$9</f>
        <v>102.77777777777777</v>
      </c>
      <c r="P6" s="495">
        <f>IF('Rekenblad Aansluiting'!D6="",0,INDEX('inkoop aansluitingen obv ULL'!E:E,MATCH(K6,'inkoop aansluitingen obv ULL'!B:B,0)))</f>
        <v>9.2350886055555534</v>
      </c>
      <c r="Q6" s="142">
        <f>IF('Rekenblad Aansluiting'!D6="",0,INDEX('inkoop aansluitingen obv ULL'!F:F,MATCH(K6,'inkoop aansluitingen obv ULL'!B:B,0)))</f>
        <v>76.89</v>
      </c>
      <c r="R6" s="652">
        <f>P6+Q6/'Parameters ULL'!$E$10</f>
        <v>11.370921938888888</v>
      </c>
      <c r="S6" s="138">
        <f>IF(RIGHT(C6,2)="CM",O6*MAX(Parameters!$B$2:$B$4),O6*Parameters!$B$3)</f>
        <v>10.277777777777779</v>
      </c>
      <c r="T6" s="142">
        <f>IF(RIGHT(C6,2)="CM",0,IF(LEFT(C6,2)="TZ",(('Vergoedingen grondslag'!$F$20+'Vergoedingen grondslag'!$I$20+'Vergoedingen grondslag'!$L$20+'Vergoedingen grondslag'!$O$20)*(M6)+('Vergoedingen grondslag'!$O$20*'Rekenblad Aansluiting'!$N6+'Vergoedingen grondslag'!$R$20+'Vergoedingen grondslag'!$U$20)/Parameters!$B$9),(('Vergoedingen grondslag'!$F$11+'Vergoedingen grondslag'!$I$11+'Vergoedingen grondslag'!$L$11+'Vergoedingen grondslag'!$O$11)*(M6))+('Vergoedingen grondslag'!$O$11*'Rekenblad Aansluiting'!$N6+'Vergoedingen grondslag'!$R$11+'Vergoedingen grondslag'!$U$11+'Vergoedingen grondslag'!$X$11)/36))</f>
        <v>0</v>
      </c>
      <c r="U6" s="142">
        <f>M6*Parameters!$B$12</f>
        <v>0</v>
      </c>
      <c r="V6" s="136">
        <f t="shared" si="4"/>
        <v>10.277777777777779</v>
      </c>
      <c r="W6" s="142">
        <f t="shared" si="5"/>
        <v>21.648699716666666</v>
      </c>
      <c r="X6" s="205">
        <f t="shared" si="6"/>
        <v>81.129078061111102</v>
      </c>
      <c r="Y6" s="173">
        <f t="shared" si="7"/>
        <v>0.78936400275675667</v>
      </c>
      <c r="Z6" s="120" t="b">
        <f t="shared" si="8"/>
        <v>0</v>
      </c>
      <c r="AA6" s="331" t="s">
        <v>868</v>
      </c>
      <c r="AB6" s="4">
        <v>0</v>
      </c>
      <c r="AD6" s="142"/>
      <c r="AE6" s="149"/>
      <c r="AF6" s="213"/>
      <c r="AG6" s="213"/>
      <c r="AH6" s="1029"/>
      <c r="AI6" s="1030"/>
      <c r="AJ6" s="173"/>
      <c r="AK6" s="133"/>
    </row>
    <row r="7" spans="1:37" ht="14.4">
      <c r="A7" s="182" t="str">
        <f t="shared" si="0"/>
        <v>KPN BelVrij Avond&amp;Weekend CMPSTNVVE nieuwe aanleg</v>
      </c>
      <c r="B7" s="120" t="str">
        <f t="shared" si="1"/>
        <v>KPN BelVrij Avond&amp;Weekend CMPSTNVVE nieuwe aanleg</v>
      </c>
      <c r="C7" s="133" t="s">
        <v>1278</v>
      </c>
      <c r="D7" s="133" t="s">
        <v>463</v>
      </c>
      <c r="E7" s="133"/>
      <c r="F7" s="133" t="s">
        <v>4</v>
      </c>
      <c r="G7" s="133" t="s">
        <v>458</v>
      </c>
      <c r="H7" s="133" t="str">
        <f t="shared" si="2"/>
        <v>PSTNVVA</v>
      </c>
      <c r="I7" s="120" t="str">
        <f t="shared" si="3"/>
        <v>PSTNVVE nieuwe aanleg</v>
      </c>
      <c r="J7" s="493" t="str">
        <f>IF(D7="","",INDEX(Mapping!$H:$H,MATCH($H7,Mapping!$B:$B,0)))</f>
        <v>PSTNVVA</v>
      </c>
      <c r="K7" s="494" t="str">
        <f>IF(D7="","",INDEX(Mapping!$H:$H,MATCH($I7,Mapping!$B:$B,0)))</f>
        <v>PSTNVVE nieuwe aanleg</v>
      </c>
      <c r="L7" s="649">
        <f>MATCH(C7&amp;D7&amp;E7,'Tarieven ZM'!$B:$B,0)</f>
        <v>11</v>
      </c>
      <c r="M7" s="213">
        <f>INDEX('Tarieven ZM'!$F:$F,'Rekenblad Aansluiting'!$L7)</f>
        <v>100</v>
      </c>
      <c r="N7" s="213">
        <f>INDEX('Tarieven ZM'!$G:$H,'Rekenblad Aansluiting'!$L7,MATCH($G7,'Tarieven ZM'!$G$4:$H$4))</f>
        <v>100</v>
      </c>
      <c r="O7" s="652">
        <f>M7+N7/Parameters!$B$9</f>
        <v>102.77777777777777</v>
      </c>
      <c r="P7" s="495">
        <f>IF('Rekenblad Aansluiting'!D7="",0,INDEX('inkoop aansluitingen obv ULL'!E:E,MATCH(K7,'inkoop aansluitingen obv ULL'!B:B,0)))</f>
        <v>9.2350886055555534</v>
      </c>
      <c r="Q7" s="142">
        <f>IF('Rekenblad Aansluiting'!D7="",0,INDEX('inkoop aansluitingen obv ULL'!F:F,MATCH(K7,'inkoop aansluitingen obv ULL'!B:B,0)))</f>
        <v>76.89</v>
      </c>
      <c r="R7" s="652">
        <f>P7+Q7/'Parameters ULL'!$E$10</f>
        <v>11.370921938888888</v>
      </c>
      <c r="S7" s="138">
        <f>IF(RIGHT(C7,2)="CM",O7*MAX(Parameters!$B$2:$B$4),O7*Parameters!$B$3)</f>
        <v>10.277777777777779</v>
      </c>
      <c r="T7" s="142">
        <f>IF(RIGHT(C7,2)="CM",0,IF(LEFT(C7,2)="TZ",(('Vergoedingen grondslag'!$F$20+'Vergoedingen grondslag'!$I$20+'Vergoedingen grondslag'!$L$20+'Vergoedingen grondslag'!$O$20)*(M7)+('Vergoedingen grondslag'!$O$20*'Rekenblad Aansluiting'!$N7+'Vergoedingen grondslag'!$R$20+'Vergoedingen grondslag'!$U$20)/Parameters!$B$9),(('Vergoedingen grondslag'!$F$11+'Vergoedingen grondslag'!$I$11+'Vergoedingen grondslag'!$L$11+'Vergoedingen grondslag'!$O$11)*(M7))+('Vergoedingen grondslag'!$O$11*'Rekenblad Aansluiting'!$N7+'Vergoedingen grondslag'!$R$11+'Vergoedingen grondslag'!$U$11+'Vergoedingen grondslag'!$X$11)/36))</f>
        <v>0</v>
      </c>
      <c r="U7" s="142">
        <f>M7*Parameters!$B$12</f>
        <v>0</v>
      </c>
      <c r="V7" s="136">
        <f t="shared" si="4"/>
        <v>10.277777777777779</v>
      </c>
      <c r="W7" s="142">
        <f t="shared" si="5"/>
        <v>21.648699716666666</v>
      </c>
      <c r="X7" s="205">
        <f t="shared" si="6"/>
        <v>81.129078061111102</v>
      </c>
      <c r="Y7" s="173">
        <f t="shared" si="7"/>
        <v>0.78936400275675667</v>
      </c>
      <c r="Z7" s="120" t="b">
        <f t="shared" si="8"/>
        <v>0</v>
      </c>
      <c r="AA7" s="331" t="s">
        <v>868</v>
      </c>
      <c r="AB7" s="4">
        <v>0</v>
      </c>
      <c r="AD7" s="142"/>
      <c r="AE7" s="149"/>
      <c r="AF7" s="213"/>
      <c r="AG7" s="213"/>
      <c r="AH7" s="1029"/>
      <c r="AI7" s="1030"/>
      <c r="AJ7" s="173"/>
      <c r="AK7" s="133"/>
    </row>
    <row r="8" spans="1:37" ht="14.4">
      <c r="A8" s="182" t="str">
        <f t="shared" si="0"/>
        <v>KPN BelVrij Avond&amp;Weekend CMISDN1VVE nieuwe aanleg</v>
      </c>
      <c r="B8" s="120" t="str">
        <f t="shared" si="1"/>
        <v>KPN BelVrij Avond&amp;Weekend CMISDN1VVE nieuwe aanleg</v>
      </c>
      <c r="C8" s="133" t="s">
        <v>1278</v>
      </c>
      <c r="D8" s="133" t="s">
        <v>464</v>
      </c>
      <c r="E8" s="133"/>
      <c r="F8" s="133" t="s">
        <v>4</v>
      </c>
      <c r="G8" s="133" t="s">
        <v>458</v>
      </c>
      <c r="H8" s="133" t="str">
        <f t="shared" si="2"/>
        <v>ISDN1VVA</v>
      </c>
      <c r="I8" s="120" t="str">
        <f t="shared" si="3"/>
        <v>ISDN1VVE nieuwe aanleg</v>
      </c>
      <c r="J8" s="493" t="str">
        <f>IF(D8="","",INDEX(Mapping!$H:$H,MATCH($H8,Mapping!$B:$B,0)))</f>
        <v>ISDN1VVA</v>
      </c>
      <c r="K8" s="494" t="str">
        <f>IF(D8="","",INDEX(Mapping!$H:$H,MATCH($I8,Mapping!$B:$B,0)))</f>
        <v>ISDN1VVE nieuwe aanleg</v>
      </c>
      <c r="L8" s="649">
        <f>MATCH(C8&amp;D8&amp;E8,'Tarieven ZM'!$B:$B,0)</f>
        <v>12</v>
      </c>
      <c r="M8" s="213">
        <f>INDEX('Tarieven ZM'!$F:$F,'Rekenblad Aansluiting'!$L8)</f>
        <v>100</v>
      </c>
      <c r="N8" s="213">
        <f>INDEX('Tarieven ZM'!$G:$H,'Rekenblad Aansluiting'!$L8,MATCH($G8,'Tarieven ZM'!$G$4:$H$4))</f>
        <v>100</v>
      </c>
      <c r="O8" s="652">
        <f>M8+N8/Parameters!$B$9</f>
        <v>102.77777777777777</v>
      </c>
      <c r="P8" s="495">
        <f>IF('Rekenblad Aansluiting'!D8="",0,INDEX('inkoop aansluitingen obv ULL'!E:E,MATCH(K8,'inkoop aansluitingen obv ULL'!B:B,0)))</f>
        <v>9.2350886055555534</v>
      </c>
      <c r="Q8" s="142">
        <f>IF('Rekenblad Aansluiting'!D8="",0,INDEX('inkoop aansluitingen obv ULL'!F:F,MATCH(K8,'inkoop aansluitingen obv ULL'!B:B,0)))</f>
        <v>76.89</v>
      </c>
      <c r="R8" s="652">
        <f>P8+Q8/'Parameters ULL'!$E$10</f>
        <v>11.370921938888888</v>
      </c>
      <c r="S8" s="138">
        <f>IF(RIGHT(C8,2)="CM",O8*MAX(Parameters!$B$2:$B$4),O8*Parameters!$B$3)</f>
        <v>10.277777777777779</v>
      </c>
      <c r="T8" s="142">
        <f>IF(RIGHT(C8,2)="CM",0,IF(LEFT(C8,2)="TZ",(('Vergoedingen grondslag'!$F$20+'Vergoedingen grondslag'!$I$20+'Vergoedingen grondslag'!$L$20+'Vergoedingen grondslag'!$O$20)*(M8)+('Vergoedingen grondslag'!$O$20*'Rekenblad Aansluiting'!$N8+'Vergoedingen grondslag'!$R$20+'Vergoedingen grondslag'!$U$20)/Parameters!$B$9),(('Vergoedingen grondslag'!$F$11+'Vergoedingen grondslag'!$I$11+'Vergoedingen grondslag'!$L$11+'Vergoedingen grondslag'!$O$11)*(M8))+('Vergoedingen grondslag'!$O$11*'Rekenblad Aansluiting'!$N8+'Vergoedingen grondslag'!$R$11+'Vergoedingen grondslag'!$U$11+'Vergoedingen grondslag'!$X$11)/36))</f>
        <v>0</v>
      </c>
      <c r="U8" s="142">
        <f>M8*Parameters!$B$12</f>
        <v>0</v>
      </c>
      <c r="V8" s="136">
        <f t="shared" si="4"/>
        <v>10.277777777777779</v>
      </c>
      <c r="W8" s="142">
        <f t="shared" si="5"/>
        <v>21.648699716666666</v>
      </c>
      <c r="X8" s="205">
        <f t="shared" si="6"/>
        <v>81.129078061111102</v>
      </c>
      <c r="Y8" s="173">
        <f t="shared" si="7"/>
        <v>0.78936400275675667</v>
      </c>
      <c r="Z8" s="120" t="b">
        <f t="shared" si="8"/>
        <v>0</v>
      </c>
      <c r="AA8" s="331" t="s">
        <v>868</v>
      </c>
      <c r="AB8" s="4">
        <v>0</v>
      </c>
      <c r="AD8" s="142"/>
      <c r="AE8" s="149"/>
      <c r="AF8" s="213"/>
      <c r="AG8" s="213"/>
      <c r="AH8" s="1029"/>
      <c r="AI8" s="1030"/>
      <c r="AJ8" s="173"/>
      <c r="AK8" s="133"/>
    </row>
    <row r="9" spans="1:37" ht="14.4">
      <c r="A9" s="182" t="str">
        <f t="shared" si="0"/>
        <v>KPN BelVrij Avond&amp;Weekend CMISDN2VVE nieuwe aanleg</v>
      </c>
      <c r="B9" s="120" t="str">
        <f t="shared" si="1"/>
        <v>KPN BelVrij Avond&amp;Weekend CMISDN2VVE nieuwe aanleg</v>
      </c>
      <c r="C9" s="133" t="s">
        <v>1278</v>
      </c>
      <c r="D9" s="133" t="s">
        <v>465</v>
      </c>
      <c r="E9" s="133"/>
      <c r="F9" s="133" t="s">
        <v>4</v>
      </c>
      <c r="G9" s="133" t="s">
        <v>458</v>
      </c>
      <c r="H9" s="133" t="str">
        <f t="shared" si="2"/>
        <v>ISDN2VVA</v>
      </c>
      <c r="I9" s="120" t="str">
        <f t="shared" si="3"/>
        <v>ISDN2VVE nieuwe aanleg</v>
      </c>
      <c r="J9" s="493" t="str">
        <f>IF(D9="","",INDEX(Mapping!$H:$H,MATCH($H9,Mapping!$B:$B,0)))</f>
        <v>ISDN2VVA</v>
      </c>
      <c r="K9" s="494" t="str">
        <f>IF(D9="","",INDEX(Mapping!$H:$H,MATCH($I9,Mapping!$B:$B,0)))</f>
        <v>ISDN2VVE nieuwe aanleg</v>
      </c>
      <c r="L9" s="649">
        <f>MATCH(C9&amp;D9&amp;E9,'Tarieven ZM'!$B:$B,0)</f>
        <v>13</v>
      </c>
      <c r="M9" s="213">
        <f>INDEX('Tarieven ZM'!$F:$F,'Rekenblad Aansluiting'!$L9)</f>
        <v>100</v>
      </c>
      <c r="N9" s="213">
        <f>INDEX('Tarieven ZM'!$G:$H,'Rekenblad Aansluiting'!$L9,MATCH($G9,'Tarieven ZM'!$G$4:$H$4))</f>
        <v>100</v>
      </c>
      <c r="O9" s="652">
        <f>M9+N9/Parameters!$B$9</f>
        <v>102.77777777777777</v>
      </c>
      <c r="P9" s="495">
        <f>IF('Rekenblad Aansluiting'!D9="",0,INDEX('inkoop aansluitingen obv ULL'!E:E,MATCH(K9,'inkoop aansluitingen obv ULL'!B:B,0)))</f>
        <v>9.2350886055555534</v>
      </c>
      <c r="Q9" s="142">
        <f>IF('Rekenblad Aansluiting'!D9="",0,INDEX('inkoop aansluitingen obv ULL'!F:F,MATCH(K9,'inkoop aansluitingen obv ULL'!B:B,0)))</f>
        <v>76.89</v>
      </c>
      <c r="R9" s="652">
        <f>P9+Q9/'Parameters ULL'!$E$10</f>
        <v>11.370921938888888</v>
      </c>
      <c r="S9" s="138">
        <f>IF(RIGHT(C9,2)="CM",O9*MAX(Parameters!$B$2:$B$4),O9*Parameters!$B$3)</f>
        <v>10.277777777777779</v>
      </c>
      <c r="T9" s="142">
        <f>IF(RIGHT(C9,2)="CM",0,IF(LEFT(C9,2)="TZ",(('Vergoedingen grondslag'!$F$20+'Vergoedingen grondslag'!$I$20+'Vergoedingen grondslag'!$L$20+'Vergoedingen grondslag'!$O$20)*(M9)+('Vergoedingen grondslag'!$O$20*'Rekenblad Aansluiting'!$N9+'Vergoedingen grondslag'!$R$20+'Vergoedingen grondslag'!$U$20)/Parameters!$B$9),(('Vergoedingen grondslag'!$F$11+'Vergoedingen grondslag'!$I$11+'Vergoedingen grondslag'!$L$11+'Vergoedingen grondslag'!$O$11)*(M9))+('Vergoedingen grondslag'!$O$11*'Rekenblad Aansluiting'!$N9+'Vergoedingen grondslag'!$R$11+'Vergoedingen grondslag'!$U$11+'Vergoedingen grondslag'!$X$11)/36))</f>
        <v>0</v>
      </c>
      <c r="U9" s="142">
        <f>M9*Parameters!$B$12</f>
        <v>0</v>
      </c>
      <c r="V9" s="136">
        <f t="shared" si="4"/>
        <v>10.277777777777779</v>
      </c>
      <c r="W9" s="142">
        <f t="shared" si="5"/>
        <v>21.648699716666666</v>
      </c>
      <c r="X9" s="205">
        <f t="shared" si="6"/>
        <v>81.129078061111102</v>
      </c>
      <c r="Y9" s="173">
        <f t="shared" si="7"/>
        <v>0.78936400275675667</v>
      </c>
      <c r="Z9" s="120" t="b">
        <f t="shared" si="8"/>
        <v>0</v>
      </c>
      <c r="AA9" s="331" t="s">
        <v>868</v>
      </c>
      <c r="AB9" s="4">
        <v>0</v>
      </c>
      <c r="AD9" s="142"/>
      <c r="AE9" s="149"/>
      <c r="AF9" s="213"/>
      <c r="AG9" s="213"/>
      <c r="AH9" s="1029"/>
      <c r="AI9" s="1030"/>
      <c r="AJ9" s="173"/>
      <c r="AK9" s="133"/>
    </row>
    <row r="10" spans="1:37" ht="14.4">
      <c r="A10" s="182" t="str">
        <f t="shared" si="0"/>
        <v>KPN BelVrij Altijd CMPSTNVVE nieuwe aanleg</v>
      </c>
      <c r="B10" s="120" t="str">
        <f t="shared" si="1"/>
        <v>KPN BelVrij Altijd CMPSTNVVE nieuwe aanleg</v>
      </c>
      <c r="C10" s="133" t="s">
        <v>1279</v>
      </c>
      <c r="D10" s="133" t="s">
        <v>463</v>
      </c>
      <c r="E10" s="133"/>
      <c r="F10" s="133" t="s">
        <v>4</v>
      </c>
      <c r="G10" s="133" t="s">
        <v>458</v>
      </c>
      <c r="H10" s="133" t="str">
        <f t="shared" si="2"/>
        <v>PSTNVVA</v>
      </c>
      <c r="I10" s="120" t="str">
        <f t="shared" si="3"/>
        <v>PSTNVVE nieuwe aanleg</v>
      </c>
      <c r="J10" s="493" t="str">
        <f>IF(D10="","",INDEX(Mapping!$H:$H,MATCH($H10,Mapping!$B:$B,0)))</f>
        <v>PSTNVVA</v>
      </c>
      <c r="K10" s="494" t="str">
        <f>IF(D10="","",INDEX(Mapping!$H:$H,MATCH($I10,Mapping!$B:$B,0)))</f>
        <v>PSTNVVE nieuwe aanleg</v>
      </c>
      <c r="L10" s="649">
        <f>MATCH(C10&amp;D10&amp;E10,'Tarieven ZM'!$B:$B,0)</f>
        <v>14</v>
      </c>
      <c r="M10" s="213">
        <f>INDEX('Tarieven ZM'!$F:$F,'Rekenblad Aansluiting'!$L10)</f>
        <v>100</v>
      </c>
      <c r="N10" s="213">
        <f>INDEX('Tarieven ZM'!$G:$H,'Rekenblad Aansluiting'!$L10,MATCH($G10,'Tarieven ZM'!$G$4:$H$4))</f>
        <v>100</v>
      </c>
      <c r="O10" s="652">
        <f>M10+N10/Parameters!$B$9</f>
        <v>102.77777777777777</v>
      </c>
      <c r="P10" s="495">
        <f>IF('Rekenblad Aansluiting'!D10="",0,INDEX('inkoop aansluitingen obv ULL'!E:E,MATCH(K10,'inkoop aansluitingen obv ULL'!B:B,0)))</f>
        <v>9.2350886055555534</v>
      </c>
      <c r="Q10" s="142">
        <f>IF('Rekenblad Aansluiting'!D10="",0,INDEX('inkoop aansluitingen obv ULL'!F:F,MATCH(K10,'inkoop aansluitingen obv ULL'!B:B,0)))</f>
        <v>76.89</v>
      </c>
      <c r="R10" s="652">
        <f>P10+Q10/'Parameters ULL'!$E$10</f>
        <v>11.370921938888888</v>
      </c>
      <c r="S10" s="138">
        <f>IF(RIGHT(C10,2)="CM",O10*MAX(Parameters!$B$2:$B$4),O10*Parameters!$B$3)</f>
        <v>10.277777777777779</v>
      </c>
      <c r="T10" s="142">
        <f>IF(RIGHT(C10,2)="CM",0,IF(LEFT(C10,2)="TZ",(('Vergoedingen grondslag'!$F$20+'Vergoedingen grondslag'!$I$20+'Vergoedingen grondslag'!$L$20+'Vergoedingen grondslag'!$O$20)*(M10)+('Vergoedingen grondslag'!$O$20*'Rekenblad Aansluiting'!$N10+'Vergoedingen grondslag'!$R$20+'Vergoedingen grondslag'!$U$20)/Parameters!$B$9),(('Vergoedingen grondslag'!$F$11+'Vergoedingen grondslag'!$I$11+'Vergoedingen grondslag'!$L$11+'Vergoedingen grondslag'!$O$11)*(M10))+('Vergoedingen grondslag'!$O$11*'Rekenblad Aansluiting'!$N10+'Vergoedingen grondslag'!$R$11+'Vergoedingen grondslag'!$U$11+'Vergoedingen grondslag'!$X$11)/36))</f>
        <v>0</v>
      </c>
      <c r="U10" s="142">
        <f>M10*Parameters!$B$12</f>
        <v>0</v>
      </c>
      <c r="V10" s="136">
        <f t="shared" si="4"/>
        <v>10.277777777777779</v>
      </c>
      <c r="W10" s="142">
        <f t="shared" si="5"/>
        <v>21.648699716666666</v>
      </c>
      <c r="X10" s="205">
        <f t="shared" si="6"/>
        <v>81.129078061111102</v>
      </c>
      <c r="Y10" s="173">
        <f t="shared" si="7"/>
        <v>0.78936400275675667</v>
      </c>
      <c r="Z10" s="120" t="b">
        <f t="shared" si="8"/>
        <v>0</v>
      </c>
      <c r="AA10" s="331" t="s">
        <v>868</v>
      </c>
      <c r="AB10" s="4">
        <v>0</v>
      </c>
      <c r="AD10" s="142"/>
      <c r="AE10" s="149"/>
      <c r="AF10" s="213"/>
      <c r="AG10" s="213"/>
      <c r="AH10" s="1029"/>
      <c r="AI10" s="1030"/>
      <c r="AJ10" s="173"/>
      <c r="AK10" s="133"/>
    </row>
    <row r="11" spans="1:37" ht="14.4">
      <c r="A11" s="182" t="str">
        <f t="shared" si="0"/>
        <v>KPN BelVrij Altijd CMISDN1VVE nieuwe aanleg</v>
      </c>
      <c r="B11" s="120" t="str">
        <f t="shared" si="1"/>
        <v>KPN BelVrij Altijd CMISDN1VVE nieuwe aanleg</v>
      </c>
      <c r="C11" s="133" t="s">
        <v>1279</v>
      </c>
      <c r="D11" s="133" t="s">
        <v>464</v>
      </c>
      <c r="E11" s="133"/>
      <c r="F11" s="133" t="s">
        <v>4</v>
      </c>
      <c r="G11" s="133" t="s">
        <v>458</v>
      </c>
      <c r="H11" s="133" t="str">
        <f t="shared" si="2"/>
        <v>ISDN1VVA</v>
      </c>
      <c r="I11" s="120" t="str">
        <f t="shared" si="3"/>
        <v>ISDN1VVE nieuwe aanleg</v>
      </c>
      <c r="J11" s="493" t="str">
        <f>IF(D11="","",INDEX(Mapping!$H:$H,MATCH($H11,Mapping!$B:$B,0)))</f>
        <v>ISDN1VVA</v>
      </c>
      <c r="K11" s="494" t="str">
        <f>IF(D11="","",INDEX(Mapping!$H:$H,MATCH($I11,Mapping!$B:$B,0)))</f>
        <v>ISDN1VVE nieuwe aanleg</v>
      </c>
      <c r="L11" s="649">
        <f>MATCH(C11&amp;D11&amp;E11,'Tarieven ZM'!$B:$B,0)</f>
        <v>15</v>
      </c>
      <c r="M11" s="213">
        <f>INDEX('Tarieven ZM'!$F:$F,'Rekenblad Aansluiting'!$L11)</f>
        <v>100</v>
      </c>
      <c r="N11" s="213">
        <f>INDEX('Tarieven ZM'!$G:$H,'Rekenblad Aansluiting'!$L11,MATCH($G11,'Tarieven ZM'!$G$4:$H$4))</f>
        <v>100</v>
      </c>
      <c r="O11" s="652">
        <f>M11+N11/Parameters!$B$9</f>
        <v>102.77777777777777</v>
      </c>
      <c r="P11" s="495">
        <f>IF('Rekenblad Aansluiting'!D11="",0,INDEX('inkoop aansluitingen obv ULL'!E:E,MATCH(K11,'inkoop aansluitingen obv ULL'!B:B,0)))</f>
        <v>9.2350886055555534</v>
      </c>
      <c r="Q11" s="142">
        <f>IF('Rekenblad Aansluiting'!D11="",0,INDEX('inkoop aansluitingen obv ULL'!F:F,MATCH(K11,'inkoop aansluitingen obv ULL'!B:B,0)))</f>
        <v>76.89</v>
      </c>
      <c r="R11" s="652">
        <f>P11+Q11/'Parameters ULL'!$E$10</f>
        <v>11.370921938888888</v>
      </c>
      <c r="S11" s="138">
        <f>IF(RIGHT(C11,2)="CM",O11*MAX(Parameters!$B$2:$B$4),O11*Parameters!$B$3)</f>
        <v>10.277777777777779</v>
      </c>
      <c r="T11" s="142">
        <f>IF(RIGHT(C11,2)="CM",0,IF(LEFT(C11,2)="TZ",(('Vergoedingen grondslag'!$F$20+'Vergoedingen grondslag'!$I$20+'Vergoedingen grondslag'!$L$20+'Vergoedingen grondslag'!$O$20)*(M11)+('Vergoedingen grondslag'!$O$20*'Rekenblad Aansluiting'!$N11+'Vergoedingen grondslag'!$R$20+'Vergoedingen grondslag'!$U$20)/Parameters!$B$9),(('Vergoedingen grondslag'!$F$11+'Vergoedingen grondslag'!$I$11+'Vergoedingen grondslag'!$L$11+'Vergoedingen grondslag'!$O$11)*(M11))+('Vergoedingen grondslag'!$O$11*'Rekenblad Aansluiting'!$N11+'Vergoedingen grondslag'!$R$11+'Vergoedingen grondslag'!$U$11+'Vergoedingen grondslag'!$X$11)/36))</f>
        <v>0</v>
      </c>
      <c r="U11" s="142">
        <f>M11*Parameters!$B$12</f>
        <v>0</v>
      </c>
      <c r="V11" s="136">
        <f t="shared" si="4"/>
        <v>10.277777777777779</v>
      </c>
      <c r="W11" s="142">
        <f t="shared" si="5"/>
        <v>21.648699716666666</v>
      </c>
      <c r="X11" s="205">
        <f t="shared" si="6"/>
        <v>81.129078061111102</v>
      </c>
      <c r="Y11" s="173">
        <f t="shared" si="7"/>
        <v>0.78936400275675667</v>
      </c>
      <c r="Z11" s="120" t="b">
        <f t="shared" si="8"/>
        <v>0</v>
      </c>
      <c r="AA11" s="331" t="s">
        <v>868</v>
      </c>
      <c r="AB11" s="4">
        <v>0</v>
      </c>
      <c r="AD11" s="142"/>
      <c r="AE11" s="149"/>
      <c r="AF11" s="213"/>
      <c r="AG11" s="213"/>
      <c r="AH11" s="1029"/>
      <c r="AI11" s="1030"/>
      <c r="AJ11" s="173"/>
      <c r="AK11" s="133"/>
    </row>
    <row r="12" spans="1:37" ht="14.4">
      <c r="A12" s="182" t="str">
        <f t="shared" si="0"/>
        <v>KPN BelVrij Altijd CMISDN2VVE nieuwe aanleg</v>
      </c>
      <c r="B12" s="120" t="str">
        <f t="shared" si="1"/>
        <v>KPN BelVrij Altijd CMISDN2VVE nieuwe aanleg</v>
      </c>
      <c r="C12" s="133" t="s">
        <v>1279</v>
      </c>
      <c r="D12" s="133" t="s">
        <v>465</v>
      </c>
      <c r="E12" s="133"/>
      <c r="F12" s="133" t="s">
        <v>4</v>
      </c>
      <c r="G12" s="133" t="s">
        <v>458</v>
      </c>
      <c r="H12" s="133" t="str">
        <f t="shared" si="2"/>
        <v>ISDN2VVA</v>
      </c>
      <c r="I12" s="120" t="str">
        <f t="shared" si="3"/>
        <v>ISDN2VVE nieuwe aanleg</v>
      </c>
      <c r="J12" s="493" t="str">
        <f>IF(D12="","",INDEX(Mapping!$H:$H,MATCH($H12,Mapping!$B:$B,0)))</f>
        <v>ISDN2VVA</v>
      </c>
      <c r="K12" s="494" t="str">
        <f>IF(D12="","",INDEX(Mapping!$H:$H,MATCH($I12,Mapping!$B:$B,0)))</f>
        <v>ISDN2VVE nieuwe aanleg</v>
      </c>
      <c r="L12" s="649">
        <f>MATCH(C12&amp;D12&amp;E12,'Tarieven ZM'!$B:$B,0)</f>
        <v>16</v>
      </c>
      <c r="M12" s="213">
        <f>INDEX('Tarieven ZM'!$F:$F,'Rekenblad Aansluiting'!$L12)</f>
        <v>100</v>
      </c>
      <c r="N12" s="213">
        <f>INDEX('Tarieven ZM'!$G:$H,'Rekenblad Aansluiting'!$L12,MATCH($G12,'Tarieven ZM'!$G$4:$H$4))</f>
        <v>100</v>
      </c>
      <c r="O12" s="652">
        <f>M12+N12/Parameters!$B$9</f>
        <v>102.77777777777777</v>
      </c>
      <c r="P12" s="495">
        <f>IF('Rekenblad Aansluiting'!D12="",0,INDEX('inkoop aansluitingen obv ULL'!E:E,MATCH(K12,'inkoop aansluitingen obv ULL'!B:B,0)))</f>
        <v>9.2350886055555534</v>
      </c>
      <c r="Q12" s="142">
        <f>IF('Rekenblad Aansluiting'!D12="",0,INDEX('inkoop aansluitingen obv ULL'!F:F,MATCH(K12,'inkoop aansluitingen obv ULL'!B:B,0)))</f>
        <v>76.89</v>
      </c>
      <c r="R12" s="652">
        <f>P12+Q12/'Parameters ULL'!$E$10</f>
        <v>11.370921938888888</v>
      </c>
      <c r="S12" s="138">
        <f>IF(RIGHT(C12,2)="CM",O12*MAX(Parameters!$B$2:$B$4),O12*Parameters!$B$3)</f>
        <v>10.277777777777779</v>
      </c>
      <c r="T12" s="142">
        <f>IF(RIGHT(C12,2)="CM",0,IF(LEFT(C12,2)="TZ",(('Vergoedingen grondslag'!$F$20+'Vergoedingen grondslag'!$I$20+'Vergoedingen grondslag'!$L$20+'Vergoedingen grondslag'!$O$20)*(M12)+('Vergoedingen grondslag'!$O$20*'Rekenblad Aansluiting'!$N12+'Vergoedingen grondslag'!$R$20+'Vergoedingen grondslag'!$U$20)/Parameters!$B$9),(('Vergoedingen grondslag'!$F$11+'Vergoedingen grondslag'!$I$11+'Vergoedingen grondslag'!$L$11+'Vergoedingen grondslag'!$O$11)*(M12))+('Vergoedingen grondslag'!$O$11*'Rekenblad Aansluiting'!$N12+'Vergoedingen grondslag'!$R$11+'Vergoedingen grondslag'!$U$11+'Vergoedingen grondslag'!$X$11)/36))</f>
        <v>0</v>
      </c>
      <c r="U12" s="142">
        <f>M12*Parameters!$B$12</f>
        <v>0</v>
      </c>
      <c r="V12" s="136">
        <f t="shared" si="4"/>
        <v>10.277777777777779</v>
      </c>
      <c r="W12" s="142">
        <f t="shared" si="5"/>
        <v>21.648699716666666</v>
      </c>
      <c r="X12" s="205">
        <f t="shared" si="6"/>
        <v>81.129078061111102</v>
      </c>
      <c r="Y12" s="173">
        <f t="shared" si="7"/>
        <v>0.78936400275675667</v>
      </c>
      <c r="Z12" s="120" t="b">
        <f t="shared" si="8"/>
        <v>0</v>
      </c>
      <c r="AA12" s="331" t="s">
        <v>868</v>
      </c>
      <c r="AB12" s="4">
        <v>0</v>
      </c>
      <c r="AD12" s="142"/>
      <c r="AE12" s="149"/>
      <c r="AF12" s="213"/>
      <c r="AG12" s="213"/>
      <c r="AH12" s="1029"/>
      <c r="AI12" s="1030"/>
      <c r="AJ12" s="173"/>
      <c r="AK12" s="133"/>
    </row>
    <row r="13" spans="1:37" ht="14.4">
      <c r="A13" s="182" t="str">
        <f t="shared" si="0"/>
        <v>KPN BelVrij Weekend CMPSTNVVE overstap</v>
      </c>
      <c r="B13" s="120" t="str">
        <f t="shared" si="1"/>
        <v>KPN BelVrij Weekend CMPSTNVVE overstap</v>
      </c>
      <c r="C13" s="133" t="s">
        <v>1277</v>
      </c>
      <c r="D13" s="133" t="s">
        <v>463</v>
      </c>
      <c r="E13" s="133"/>
      <c r="F13" s="133" t="s">
        <v>4</v>
      </c>
      <c r="G13" s="133" t="s">
        <v>459</v>
      </c>
      <c r="H13" s="133" t="str">
        <f t="shared" si="2"/>
        <v>PSTNVVA</v>
      </c>
      <c r="I13" s="120" t="str">
        <f t="shared" si="3"/>
        <v>PSTNVVE overstap</v>
      </c>
      <c r="J13" s="493" t="str">
        <f>IF(D13="","",INDEX(Mapping!$H:$H,MATCH($H13,Mapping!$B:$B,0)))</f>
        <v>PSTNVVA</v>
      </c>
      <c r="K13" s="494" t="str">
        <f>IF(D13="","",INDEX(Mapping!$H:$H,MATCH($I13,Mapping!$B:$B,0)))</f>
        <v>PSTNVVE overstap</v>
      </c>
      <c r="L13" s="649">
        <f>MATCH(C13&amp;D13&amp;E13,'Tarieven ZM'!$B:$B,0)</f>
        <v>8</v>
      </c>
      <c r="M13" s="213">
        <f>INDEX('Tarieven ZM'!$F:$F,'Rekenblad Aansluiting'!$L13)</f>
        <v>100</v>
      </c>
      <c r="N13" s="213">
        <f>INDEX('Tarieven ZM'!$G:$H,'Rekenblad Aansluiting'!$L13,MATCH($G13,'Tarieven ZM'!$G$4:$H$4))</f>
        <v>100</v>
      </c>
      <c r="O13" s="652">
        <f>M13+N13/Parameters!$B$9</f>
        <v>102.77777777777777</v>
      </c>
      <c r="P13" s="495">
        <f>IF('Rekenblad Aansluiting'!D13="",0,INDEX('inkoop aansluitingen obv ULL'!E:E,MATCH(K13,'inkoop aansluitingen obv ULL'!B:B,0)))</f>
        <v>9.2350886055555534</v>
      </c>
      <c r="Q13" s="142">
        <f>IF('Rekenblad Aansluiting'!D13="",0,INDEX('inkoop aansluitingen obv ULL'!F:F,MATCH(K13,'inkoop aansluitingen obv ULL'!B:B,0)))</f>
        <v>19.29</v>
      </c>
      <c r="R13" s="652">
        <f>P13+Q13/'Parameters ULL'!$E$10</f>
        <v>9.7709219388888862</v>
      </c>
      <c r="S13" s="138">
        <f>IF(RIGHT(C13,2)="CM",O13*MAX(Parameters!$B$2:$B$4),O13*Parameters!$B$3)</f>
        <v>10.277777777777779</v>
      </c>
      <c r="T13" s="142">
        <f>IF(RIGHT(C13,2)="CM",0,IF(LEFT(C13,2)="TZ",(('Vergoedingen grondslag'!$F$20+'Vergoedingen grondslag'!$I$20+'Vergoedingen grondslag'!$L$20+'Vergoedingen grondslag'!$O$20)*(M13)+('Vergoedingen grondslag'!$O$20*'Rekenblad Aansluiting'!$N13+'Vergoedingen grondslag'!$R$20+'Vergoedingen grondslag'!$U$20)/Parameters!$B$9),(('Vergoedingen grondslag'!$F$11+'Vergoedingen grondslag'!$I$11+'Vergoedingen grondslag'!$L$11+'Vergoedingen grondslag'!$O$11)*(M13))+('Vergoedingen grondslag'!$O$11*'Rekenblad Aansluiting'!$N13+'Vergoedingen grondslag'!$R$11+'Vergoedingen grondslag'!$U$11+'Vergoedingen grondslag'!$X$11)/36))</f>
        <v>0</v>
      </c>
      <c r="U13" s="142">
        <f>M13*Parameters!$B$12</f>
        <v>0</v>
      </c>
      <c r="V13" s="136">
        <f t="shared" si="4"/>
        <v>10.277777777777779</v>
      </c>
      <c r="W13" s="142">
        <f t="shared" si="5"/>
        <v>20.048699716666665</v>
      </c>
      <c r="X13" s="205">
        <f t="shared" si="6"/>
        <v>82.72907806111111</v>
      </c>
      <c r="Y13" s="173">
        <f t="shared" si="7"/>
        <v>0.80493157032432439</v>
      </c>
      <c r="Z13" s="120" t="b">
        <f t="shared" si="8"/>
        <v>0</v>
      </c>
      <c r="AA13" s="331" t="s">
        <v>868</v>
      </c>
      <c r="AB13" s="4">
        <v>0</v>
      </c>
      <c r="AD13" s="142"/>
      <c r="AE13" s="149"/>
      <c r="AF13" s="213"/>
      <c r="AG13" s="213"/>
      <c r="AH13" s="1029"/>
      <c r="AI13" s="1030"/>
      <c r="AJ13" s="173"/>
      <c r="AK13" s="133"/>
    </row>
    <row r="14" spans="1:37" ht="14.4">
      <c r="A14" s="182" t="str">
        <f t="shared" si="0"/>
        <v>KPN BelVrij Weekend CMISDN1VVE overstap</v>
      </c>
      <c r="B14" s="120" t="str">
        <f t="shared" si="1"/>
        <v>KPN BelVrij Weekend CMISDN1VVE overstap</v>
      </c>
      <c r="C14" s="133" t="s">
        <v>1277</v>
      </c>
      <c r="D14" s="133" t="s">
        <v>464</v>
      </c>
      <c r="E14" s="133"/>
      <c r="F14" s="133" t="s">
        <v>4</v>
      </c>
      <c r="G14" s="133" t="s">
        <v>459</v>
      </c>
      <c r="H14" s="133" t="str">
        <f t="shared" si="2"/>
        <v>ISDN1VVA</v>
      </c>
      <c r="I14" s="120" t="str">
        <f t="shared" si="3"/>
        <v>ISDN1VVE overstap</v>
      </c>
      <c r="J14" s="493" t="str">
        <f>IF(D14="","",INDEX(Mapping!$H:$H,MATCH($H14,Mapping!$B:$B,0)))</f>
        <v>ISDN1VVA</v>
      </c>
      <c r="K14" s="494" t="str">
        <f>IF(D14="","",INDEX(Mapping!$H:$H,MATCH($I14,Mapping!$B:$B,0)))</f>
        <v>ISDN1VVE overstap</v>
      </c>
      <c r="L14" s="649">
        <f>MATCH(C14&amp;D14&amp;E14,'Tarieven ZM'!$B:$B,0)</f>
        <v>9</v>
      </c>
      <c r="M14" s="213">
        <f>INDEX('Tarieven ZM'!$F:$F,'Rekenblad Aansluiting'!$L14)</f>
        <v>100</v>
      </c>
      <c r="N14" s="213">
        <f>INDEX('Tarieven ZM'!$G:$H,'Rekenblad Aansluiting'!$L14,MATCH($G14,'Tarieven ZM'!$G$4:$H$4))</f>
        <v>100</v>
      </c>
      <c r="O14" s="652">
        <f>M14+N14/Parameters!$B$9</f>
        <v>102.77777777777777</v>
      </c>
      <c r="P14" s="495">
        <f>IF('Rekenblad Aansluiting'!D14="",0,INDEX('inkoop aansluitingen obv ULL'!E:E,MATCH(K14,'inkoop aansluitingen obv ULL'!B:B,0)))</f>
        <v>9.2350886055555534</v>
      </c>
      <c r="Q14" s="142">
        <f>IF('Rekenblad Aansluiting'!D14="",0,INDEX('inkoop aansluitingen obv ULL'!F:F,MATCH(K14,'inkoop aansluitingen obv ULL'!B:B,0)))</f>
        <v>19.29</v>
      </c>
      <c r="R14" s="652">
        <f>P14+Q14/'Parameters ULL'!$E$10</f>
        <v>9.7709219388888862</v>
      </c>
      <c r="S14" s="138">
        <f>IF(RIGHT(C14,2)="CM",O14*MAX(Parameters!$B$2:$B$4),O14*Parameters!$B$3)</f>
        <v>10.277777777777779</v>
      </c>
      <c r="T14" s="142">
        <f>IF(RIGHT(C14,2)="CM",0,IF(LEFT(C14,2)="TZ",(('Vergoedingen grondslag'!$F$20+'Vergoedingen grondslag'!$I$20+'Vergoedingen grondslag'!$L$20+'Vergoedingen grondslag'!$O$20)*(M14)+('Vergoedingen grondslag'!$O$20*'Rekenblad Aansluiting'!$N14+'Vergoedingen grondslag'!$R$20+'Vergoedingen grondslag'!$U$20)/Parameters!$B$9),(('Vergoedingen grondslag'!$F$11+'Vergoedingen grondslag'!$I$11+'Vergoedingen grondslag'!$L$11+'Vergoedingen grondslag'!$O$11)*(M14))+('Vergoedingen grondslag'!$O$11*'Rekenblad Aansluiting'!$N14+'Vergoedingen grondslag'!$R$11+'Vergoedingen grondslag'!$U$11+'Vergoedingen grondslag'!$X$11)/36))</f>
        <v>0</v>
      </c>
      <c r="U14" s="142">
        <f>M14*Parameters!$B$12</f>
        <v>0</v>
      </c>
      <c r="V14" s="136">
        <f t="shared" si="4"/>
        <v>10.277777777777779</v>
      </c>
      <c r="W14" s="142">
        <f t="shared" si="5"/>
        <v>20.048699716666665</v>
      </c>
      <c r="X14" s="205">
        <f t="shared" si="6"/>
        <v>82.72907806111111</v>
      </c>
      <c r="Y14" s="173">
        <f t="shared" si="7"/>
        <v>0.80493157032432439</v>
      </c>
      <c r="Z14" s="120" t="b">
        <f t="shared" si="8"/>
        <v>0</v>
      </c>
      <c r="AA14" s="331" t="s">
        <v>868</v>
      </c>
      <c r="AB14" s="4">
        <v>0</v>
      </c>
      <c r="AD14" s="142"/>
      <c r="AE14" s="149"/>
      <c r="AF14" s="213"/>
      <c r="AG14" s="213"/>
      <c r="AH14" s="1029"/>
      <c r="AI14" s="1030"/>
      <c r="AJ14" s="173"/>
      <c r="AK14" s="133"/>
    </row>
    <row r="15" spans="1:37" ht="14.4">
      <c r="A15" s="182" t="str">
        <f t="shared" si="0"/>
        <v>KPN BelVrij Weekend CMISDN2VVE overstap</v>
      </c>
      <c r="B15" s="120" t="str">
        <f t="shared" si="1"/>
        <v>KPN BelVrij Weekend CMISDN2VVE overstap</v>
      </c>
      <c r="C15" s="133" t="s">
        <v>1277</v>
      </c>
      <c r="D15" s="133" t="s">
        <v>465</v>
      </c>
      <c r="E15" s="133"/>
      <c r="F15" s="133" t="s">
        <v>4</v>
      </c>
      <c r="G15" s="133" t="s">
        <v>459</v>
      </c>
      <c r="H15" s="133" t="str">
        <f t="shared" si="2"/>
        <v>ISDN2VVA</v>
      </c>
      <c r="I15" s="120" t="str">
        <f t="shared" si="3"/>
        <v>ISDN2VVE overstap</v>
      </c>
      <c r="J15" s="493" t="str">
        <f>IF(D15="","",INDEX(Mapping!$H:$H,MATCH($H15,Mapping!$B:$B,0)))</f>
        <v>ISDN2VVA</v>
      </c>
      <c r="K15" s="494" t="str">
        <f>IF(D15="","",INDEX(Mapping!$H:$H,MATCH($I15,Mapping!$B:$B,0)))</f>
        <v>ISDN2VVE overstap</v>
      </c>
      <c r="L15" s="649">
        <f>MATCH(C15&amp;D15&amp;E15,'Tarieven ZM'!$B:$B,0)</f>
        <v>10</v>
      </c>
      <c r="M15" s="213">
        <f>INDEX('Tarieven ZM'!$F:$F,'Rekenblad Aansluiting'!$L15)</f>
        <v>100</v>
      </c>
      <c r="N15" s="213">
        <f>INDEX('Tarieven ZM'!$G:$H,'Rekenblad Aansluiting'!$L15,MATCH($G15,'Tarieven ZM'!$G$4:$H$4))</f>
        <v>100</v>
      </c>
      <c r="O15" s="652">
        <f>M15+N15/Parameters!$B$9</f>
        <v>102.77777777777777</v>
      </c>
      <c r="P15" s="495">
        <f>IF('Rekenblad Aansluiting'!D15="",0,INDEX('inkoop aansluitingen obv ULL'!E:E,MATCH(K15,'inkoop aansluitingen obv ULL'!B:B,0)))</f>
        <v>9.2350886055555534</v>
      </c>
      <c r="Q15" s="142">
        <f>IF('Rekenblad Aansluiting'!D15="",0,INDEX('inkoop aansluitingen obv ULL'!F:F,MATCH(K15,'inkoop aansluitingen obv ULL'!B:B,0)))</f>
        <v>19.29</v>
      </c>
      <c r="R15" s="652">
        <f>P15+Q15/'Parameters ULL'!$E$10</f>
        <v>9.7709219388888862</v>
      </c>
      <c r="S15" s="138">
        <f>IF(RIGHT(C15,2)="CM",O15*MAX(Parameters!$B$2:$B$4),O15*Parameters!$B$3)</f>
        <v>10.277777777777779</v>
      </c>
      <c r="T15" s="142">
        <f>IF(RIGHT(C15,2)="CM",0,IF(LEFT(C15,2)="TZ",(('Vergoedingen grondslag'!$F$20+'Vergoedingen grondslag'!$I$20+'Vergoedingen grondslag'!$L$20+'Vergoedingen grondslag'!$O$20)*(M15)+('Vergoedingen grondslag'!$O$20*'Rekenblad Aansluiting'!$N15+'Vergoedingen grondslag'!$R$20+'Vergoedingen grondslag'!$U$20)/Parameters!$B$9),(('Vergoedingen grondslag'!$F$11+'Vergoedingen grondslag'!$I$11+'Vergoedingen grondslag'!$L$11+'Vergoedingen grondslag'!$O$11)*(M15))+('Vergoedingen grondslag'!$O$11*'Rekenblad Aansluiting'!$N15+'Vergoedingen grondslag'!$R$11+'Vergoedingen grondslag'!$U$11+'Vergoedingen grondslag'!$X$11)/36))</f>
        <v>0</v>
      </c>
      <c r="U15" s="142">
        <f>M15*Parameters!$B$12</f>
        <v>0</v>
      </c>
      <c r="V15" s="136">
        <f t="shared" si="4"/>
        <v>10.277777777777779</v>
      </c>
      <c r="W15" s="142">
        <f t="shared" si="5"/>
        <v>20.048699716666665</v>
      </c>
      <c r="X15" s="205">
        <f t="shared" si="6"/>
        <v>82.72907806111111</v>
      </c>
      <c r="Y15" s="173">
        <f t="shared" si="7"/>
        <v>0.80493157032432439</v>
      </c>
      <c r="Z15" s="120" t="b">
        <f t="shared" si="8"/>
        <v>0</v>
      </c>
      <c r="AA15" s="331" t="s">
        <v>868</v>
      </c>
      <c r="AB15" s="4">
        <v>0</v>
      </c>
      <c r="AD15" s="142"/>
      <c r="AE15" s="149"/>
      <c r="AF15" s="213"/>
      <c r="AG15" s="213"/>
      <c r="AH15" s="1029"/>
      <c r="AI15" s="1030"/>
      <c r="AJ15" s="173"/>
      <c r="AK15" s="133"/>
    </row>
    <row r="16" spans="1:37" ht="14.4">
      <c r="A16" s="182" t="str">
        <f t="shared" si="0"/>
        <v>KPN BelVrij Avond&amp;Weekend CMPSTNVVE overstap</v>
      </c>
      <c r="B16" s="120" t="str">
        <f t="shared" si="1"/>
        <v>KPN BelVrij Avond&amp;Weekend CMPSTNVVE overstap</v>
      </c>
      <c r="C16" s="133" t="s">
        <v>1278</v>
      </c>
      <c r="D16" s="133" t="s">
        <v>463</v>
      </c>
      <c r="E16" s="133"/>
      <c r="F16" s="133" t="s">
        <v>4</v>
      </c>
      <c r="G16" s="133" t="s">
        <v>459</v>
      </c>
      <c r="H16" s="133" t="str">
        <f t="shared" si="2"/>
        <v>PSTNVVA</v>
      </c>
      <c r="I16" s="120" t="str">
        <f t="shared" si="3"/>
        <v>PSTNVVE overstap</v>
      </c>
      <c r="J16" s="493" t="str">
        <f>IF(D16="","",INDEX(Mapping!$H:$H,MATCH($H16,Mapping!$B:$B,0)))</f>
        <v>PSTNVVA</v>
      </c>
      <c r="K16" s="494" t="str">
        <f>IF(D16="","",INDEX(Mapping!$H:$H,MATCH($I16,Mapping!$B:$B,0)))</f>
        <v>PSTNVVE overstap</v>
      </c>
      <c r="L16" s="649">
        <f>MATCH(C16&amp;D16&amp;E16,'Tarieven ZM'!$B:$B,0)</f>
        <v>11</v>
      </c>
      <c r="M16" s="213">
        <f>INDEX('Tarieven ZM'!$F:$F,'Rekenblad Aansluiting'!$L16)</f>
        <v>100</v>
      </c>
      <c r="N16" s="213">
        <f>INDEX('Tarieven ZM'!$G:$H,'Rekenblad Aansluiting'!$L16,MATCH($G16,'Tarieven ZM'!$G$4:$H$4))</f>
        <v>100</v>
      </c>
      <c r="O16" s="652">
        <f>M16+N16/Parameters!$B$9</f>
        <v>102.77777777777777</v>
      </c>
      <c r="P16" s="495">
        <f>IF('Rekenblad Aansluiting'!D16="",0,INDEX('inkoop aansluitingen obv ULL'!E:E,MATCH(K16,'inkoop aansluitingen obv ULL'!B:B,0)))</f>
        <v>9.2350886055555534</v>
      </c>
      <c r="Q16" s="142">
        <f>IF('Rekenblad Aansluiting'!D16="",0,INDEX('inkoop aansluitingen obv ULL'!F:F,MATCH(K16,'inkoop aansluitingen obv ULL'!B:B,0)))</f>
        <v>19.29</v>
      </c>
      <c r="R16" s="652">
        <f>P16+Q16/'Parameters ULL'!$E$10</f>
        <v>9.7709219388888862</v>
      </c>
      <c r="S16" s="138">
        <f>IF(RIGHT(C16,2)="CM",O16*MAX(Parameters!$B$2:$B$4),O16*Parameters!$B$3)</f>
        <v>10.277777777777779</v>
      </c>
      <c r="T16" s="142">
        <f>IF(RIGHT(C16,2)="CM",0,IF(LEFT(C16,2)="TZ",(('Vergoedingen grondslag'!$F$20+'Vergoedingen grondslag'!$I$20+'Vergoedingen grondslag'!$L$20+'Vergoedingen grondslag'!$O$20)*(M16)+('Vergoedingen grondslag'!$O$20*'Rekenblad Aansluiting'!$N16+'Vergoedingen grondslag'!$R$20+'Vergoedingen grondslag'!$U$20)/Parameters!$B$9),(('Vergoedingen grondslag'!$F$11+'Vergoedingen grondslag'!$I$11+'Vergoedingen grondslag'!$L$11+'Vergoedingen grondslag'!$O$11)*(M16))+('Vergoedingen grondslag'!$O$11*'Rekenblad Aansluiting'!$N16+'Vergoedingen grondslag'!$R$11+'Vergoedingen grondslag'!$U$11+'Vergoedingen grondslag'!$X$11)/36))</f>
        <v>0</v>
      </c>
      <c r="U16" s="142">
        <f>M16*Parameters!$B$12</f>
        <v>0</v>
      </c>
      <c r="V16" s="136">
        <f t="shared" si="4"/>
        <v>10.277777777777779</v>
      </c>
      <c r="W16" s="142">
        <f t="shared" si="5"/>
        <v>20.048699716666665</v>
      </c>
      <c r="X16" s="205">
        <f t="shared" si="6"/>
        <v>82.72907806111111</v>
      </c>
      <c r="Y16" s="173">
        <f t="shared" si="7"/>
        <v>0.80493157032432439</v>
      </c>
      <c r="Z16" s="120" t="b">
        <f t="shared" si="8"/>
        <v>0</v>
      </c>
      <c r="AA16" s="331" t="s">
        <v>868</v>
      </c>
      <c r="AB16" s="4">
        <v>0</v>
      </c>
      <c r="AD16" s="142"/>
      <c r="AE16" s="149"/>
      <c r="AF16" s="213"/>
      <c r="AG16" s="213"/>
      <c r="AH16" s="1029"/>
      <c r="AI16" s="1030"/>
      <c r="AJ16" s="173"/>
      <c r="AK16" s="133"/>
    </row>
    <row r="17" spans="1:37" ht="14.4">
      <c r="A17" s="182" t="str">
        <f t="shared" si="0"/>
        <v>KPN BelVrij Avond&amp;Weekend CMISDN1VVE overstap</v>
      </c>
      <c r="B17" s="120" t="str">
        <f t="shared" si="1"/>
        <v>KPN BelVrij Avond&amp;Weekend CMISDN1VVE overstap</v>
      </c>
      <c r="C17" s="133" t="s">
        <v>1278</v>
      </c>
      <c r="D17" s="133" t="s">
        <v>464</v>
      </c>
      <c r="E17" s="133"/>
      <c r="F17" s="133" t="s">
        <v>4</v>
      </c>
      <c r="G17" s="133" t="s">
        <v>459</v>
      </c>
      <c r="H17" s="133" t="str">
        <f t="shared" si="2"/>
        <v>ISDN1VVA</v>
      </c>
      <c r="I17" s="120" t="str">
        <f t="shared" si="3"/>
        <v>ISDN1VVE overstap</v>
      </c>
      <c r="J17" s="493" t="str">
        <f>IF(D17="","",INDEX(Mapping!$H:$H,MATCH($H17,Mapping!$B:$B,0)))</f>
        <v>ISDN1VVA</v>
      </c>
      <c r="K17" s="494" t="str">
        <f>IF(D17="","",INDEX(Mapping!$H:$H,MATCH($I17,Mapping!$B:$B,0)))</f>
        <v>ISDN1VVE overstap</v>
      </c>
      <c r="L17" s="649">
        <f>MATCH(C17&amp;D17&amp;E17,'Tarieven ZM'!$B:$B,0)</f>
        <v>12</v>
      </c>
      <c r="M17" s="213">
        <f>INDEX('Tarieven ZM'!$F:$F,'Rekenblad Aansluiting'!$L17)</f>
        <v>100</v>
      </c>
      <c r="N17" s="213">
        <f>INDEX('Tarieven ZM'!$G:$H,'Rekenblad Aansluiting'!$L17,MATCH($G17,'Tarieven ZM'!$G$4:$H$4))</f>
        <v>100</v>
      </c>
      <c r="O17" s="652">
        <f>M17+N17/Parameters!$B$9</f>
        <v>102.77777777777777</v>
      </c>
      <c r="P17" s="495">
        <f>IF('Rekenblad Aansluiting'!D17="",0,INDEX('inkoop aansluitingen obv ULL'!E:E,MATCH(K17,'inkoop aansluitingen obv ULL'!B:B,0)))</f>
        <v>9.2350886055555534</v>
      </c>
      <c r="Q17" s="142">
        <f>IF('Rekenblad Aansluiting'!D17="",0,INDEX('inkoop aansluitingen obv ULL'!F:F,MATCH(K17,'inkoop aansluitingen obv ULL'!B:B,0)))</f>
        <v>19.29</v>
      </c>
      <c r="R17" s="652">
        <f>P17+Q17/'Parameters ULL'!$E$10</f>
        <v>9.7709219388888862</v>
      </c>
      <c r="S17" s="138">
        <f>IF(RIGHT(C17,2)="CM",O17*MAX(Parameters!$B$2:$B$4),O17*Parameters!$B$3)</f>
        <v>10.277777777777779</v>
      </c>
      <c r="T17" s="142">
        <f>IF(RIGHT(C17,2)="CM",0,IF(LEFT(C17,2)="TZ",(('Vergoedingen grondslag'!$F$20+'Vergoedingen grondslag'!$I$20+'Vergoedingen grondslag'!$L$20+'Vergoedingen grondslag'!$O$20)*(M17)+('Vergoedingen grondslag'!$O$20*'Rekenblad Aansluiting'!$N17+'Vergoedingen grondslag'!$R$20+'Vergoedingen grondslag'!$U$20)/Parameters!$B$9),(('Vergoedingen grondslag'!$F$11+'Vergoedingen grondslag'!$I$11+'Vergoedingen grondslag'!$L$11+'Vergoedingen grondslag'!$O$11)*(M17))+('Vergoedingen grondslag'!$O$11*'Rekenblad Aansluiting'!$N17+'Vergoedingen grondslag'!$R$11+'Vergoedingen grondslag'!$U$11+'Vergoedingen grondslag'!$X$11)/36))</f>
        <v>0</v>
      </c>
      <c r="U17" s="142">
        <f>M17*Parameters!$B$12</f>
        <v>0</v>
      </c>
      <c r="V17" s="136">
        <f t="shared" si="4"/>
        <v>10.277777777777779</v>
      </c>
      <c r="W17" s="142">
        <f t="shared" si="5"/>
        <v>20.048699716666665</v>
      </c>
      <c r="X17" s="205">
        <f t="shared" si="6"/>
        <v>82.72907806111111</v>
      </c>
      <c r="Y17" s="173">
        <f t="shared" si="7"/>
        <v>0.80493157032432439</v>
      </c>
      <c r="Z17" s="120" t="b">
        <f t="shared" si="8"/>
        <v>0</v>
      </c>
      <c r="AA17" s="331" t="s">
        <v>868</v>
      </c>
      <c r="AB17" s="4">
        <v>0</v>
      </c>
      <c r="AD17" s="142"/>
      <c r="AE17" s="149"/>
      <c r="AF17" s="213"/>
      <c r="AG17" s="213"/>
      <c r="AH17" s="1029"/>
      <c r="AI17" s="1030"/>
      <c r="AJ17" s="173"/>
      <c r="AK17" s="133"/>
    </row>
    <row r="18" spans="1:37" ht="14.4">
      <c r="A18" s="182" t="str">
        <f t="shared" si="0"/>
        <v>KPN BelVrij Avond&amp;Weekend CMISDN2VVE overstap</v>
      </c>
      <c r="B18" s="120" t="str">
        <f t="shared" si="1"/>
        <v>KPN BelVrij Avond&amp;Weekend CMISDN2VVE overstap</v>
      </c>
      <c r="C18" s="133" t="s">
        <v>1278</v>
      </c>
      <c r="D18" s="133" t="s">
        <v>465</v>
      </c>
      <c r="E18" s="133"/>
      <c r="F18" s="133" t="s">
        <v>4</v>
      </c>
      <c r="G18" s="133" t="s">
        <v>459</v>
      </c>
      <c r="H18" s="133" t="str">
        <f t="shared" si="2"/>
        <v>ISDN2VVA</v>
      </c>
      <c r="I18" s="120" t="str">
        <f t="shared" si="3"/>
        <v>ISDN2VVE overstap</v>
      </c>
      <c r="J18" s="493" t="str">
        <f>IF(D18="","",INDEX(Mapping!$H:$H,MATCH($H18,Mapping!$B:$B,0)))</f>
        <v>ISDN2VVA</v>
      </c>
      <c r="K18" s="494" t="str">
        <f>IF(D18="","",INDEX(Mapping!$H:$H,MATCH($I18,Mapping!$B:$B,0)))</f>
        <v>ISDN2VVE overstap</v>
      </c>
      <c r="L18" s="649">
        <f>MATCH(C18&amp;D18&amp;E18,'Tarieven ZM'!$B:$B,0)</f>
        <v>13</v>
      </c>
      <c r="M18" s="213">
        <f>INDEX('Tarieven ZM'!$F:$F,'Rekenblad Aansluiting'!$L18)</f>
        <v>100</v>
      </c>
      <c r="N18" s="213">
        <f>INDEX('Tarieven ZM'!$G:$H,'Rekenblad Aansluiting'!$L18,MATCH($G18,'Tarieven ZM'!$G$4:$H$4))</f>
        <v>100</v>
      </c>
      <c r="O18" s="652">
        <f>M18+N18/Parameters!$B$9</f>
        <v>102.77777777777777</v>
      </c>
      <c r="P18" s="495">
        <f>IF('Rekenblad Aansluiting'!D18="",0,INDEX('inkoop aansluitingen obv ULL'!E:E,MATCH(K18,'inkoop aansluitingen obv ULL'!B:B,0)))</f>
        <v>9.2350886055555534</v>
      </c>
      <c r="Q18" s="142">
        <f>IF('Rekenblad Aansluiting'!D18="",0,INDEX('inkoop aansluitingen obv ULL'!F:F,MATCH(K18,'inkoop aansluitingen obv ULL'!B:B,0)))</f>
        <v>19.29</v>
      </c>
      <c r="R18" s="652">
        <f>P18+Q18/'Parameters ULL'!$E$10</f>
        <v>9.7709219388888862</v>
      </c>
      <c r="S18" s="138">
        <f>IF(RIGHT(C18,2)="CM",O18*MAX(Parameters!$B$2:$B$4),O18*Parameters!$B$3)</f>
        <v>10.277777777777779</v>
      </c>
      <c r="T18" s="142">
        <f>IF(RIGHT(C18,2)="CM",0,IF(LEFT(C18,2)="TZ",(('Vergoedingen grondslag'!$F$20+'Vergoedingen grondslag'!$I$20+'Vergoedingen grondslag'!$L$20+'Vergoedingen grondslag'!$O$20)*(M18)+('Vergoedingen grondslag'!$O$20*'Rekenblad Aansluiting'!$N18+'Vergoedingen grondslag'!$R$20+'Vergoedingen grondslag'!$U$20)/Parameters!$B$9),(('Vergoedingen grondslag'!$F$11+'Vergoedingen grondslag'!$I$11+'Vergoedingen grondslag'!$L$11+'Vergoedingen grondslag'!$O$11)*(M18))+('Vergoedingen grondslag'!$O$11*'Rekenblad Aansluiting'!$N18+'Vergoedingen grondslag'!$R$11+'Vergoedingen grondslag'!$U$11+'Vergoedingen grondslag'!$X$11)/36))</f>
        <v>0</v>
      </c>
      <c r="U18" s="142">
        <f>M18*Parameters!$B$12</f>
        <v>0</v>
      </c>
      <c r="V18" s="136">
        <f t="shared" si="4"/>
        <v>10.277777777777779</v>
      </c>
      <c r="W18" s="142">
        <f t="shared" si="5"/>
        <v>20.048699716666665</v>
      </c>
      <c r="X18" s="205">
        <f t="shared" si="6"/>
        <v>82.72907806111111</v>
      </c>
      <c r="Y18" s="173">
        <f t="shared" si="7"/>
        <v>0.80493157032432439</v>
      </c>
      <c r="Z18" s="120" t="b">
        <f t="shared" si="8"/>
        <v>0</v>
      </c>
      <c r="AA18" s="331" t="s">
        <v>868</v>
      </c>
      <c r="AB18" s="4">
        <v>0</v>
      </c>
      <c r="AD18" s="142"/>
      <c r="AE18" s="149"/>
      <c r="AF18" s="213"/>
      <c r="AG18" s="213"/>
      <c r="AH18" s="1029"/>
      <c r="AI18" s="1030"/>
      <c r="AJ18" s="173"/>
      <c r="AK18" s="133"/>
    </row>
    <row r="19" spans="1:37" ht="14.4">
      <c r="A19" s="182" t="str">
        <f t="shared" si="0"/>
        <v>KPN BelVrij Altijd CMPSTNVVE overstap</v>
      </c>
      <c r="B19" s="120" t="str">
        <f t="shared" si="1"/>
        <v>KPN BelVrij Altijd CMPSTNVVE overstap</v>
      </c>
      <c r="C19" s="133" t="s">
        <v>1279</v>
      </c>
      <c r="D19" s="133" t="s">
        <v>463</v>
      </c>
      <c r="E19" s="133"/>
      <c r="F19" s="133" t="s">
        <v>4</v>
      </c>
      <c r="G19" s="133" t="s">
        <v>459</v>
      </c>
      <c r="H19" s="133" t="str">
        <f t="shared" si="2"/>
        <v>PSTNVVA</v>
      </c>
      <c r="I19" s="120" t="str">
        <f t="shared" si="3"/>
        <v>PSTNVVE overstap</v>
      </c>
      <c r="J19" s="493" t="str">
        <f>IF(D19="","",INDEX(Mapping!$H:$H,MATCH($H19,Mapping!$B:$B,0)))</f>
        <v>PSTNVVA</v>
      </c>
      <c r="K19" s="494" t="str">
        <f>IF(D19="","",INDEX(Mapping!$H:$H,MATCH($I19,Mapping!$B:$B,0)))</f>
        <v>PSTNVVE overstap</v>
      </c>
      <c r="L19" s="649">
        <f>MATCH(C19&amp;D19&amp;E19,'Tarieven ZM'!$B:$B,0)</f>
        <v>14</v>
      </c>
      <c r="M19" s="213">
        <f>INDEX('Tarieven ZM'!$F:$F,'Rekenblad Aansluiting'!$L19)</f>
        <v>100</v>
      </c>
      <c r="N19" s="213">
        <f>INDEX('Tarieven ZM'!$G:$H,'Rekenblad Aansluiting'!$L19,MATCH($G19,'Tarieven ZM'!$G$4:$H$4))</f>
        <v>100</v>
      </c>
      <c r="O19" s="652">
        <f>M19+N19/Parameters!$B$9</f>
        <v>102.77777777777777</v>
      </c>
      <c r="P19" s="495">
        <f>IF('Rekenblad Aansluiting'!D19="",0,INDEX('inkoop aansluitingen obv ULL'!E:E,MATCH(K19,'inkoop aansluitingen obv ULL'!B:B,0)))</f>
        <v>9.2350886055555534</v>
      </c>
      <c r="Q19" s="142">
        <f>IF('Rekenblad Aansluiting'!D19="",0,INDEX('inkoop aansluitingen obv ULL'!F:F,MATCH(K19,'inkoop aansluitingen obv ULL'!B:B,0)))</f>
        <v>19.29</v>
      </c>
      <c r="R19" s="652">
        <f>P19+Q19/'Parameters ULL'!$E$10</f>
        <v>9.7709219388888862</v>
      </c>
      <c r="S19" s="138">
        <f>IF(RIGHT(C19,2)="CM",O19*MAX(Parameters!$B$2:$B$4),O19*Parameters!$B$3)</f>
        <v>10.277777777777779</v>
      </c>
      <c r="T19" s="142">
        <f>IF(RIGHT(C19,2)="CM",0,IF(LEFT(C19,2)="TZ",(('Vergoedingen grondslag'!$F$20+'Vergoedingen grondslag'!$I$20+'Vergoedingen grondslag'!$L$20+'Vergoedingen grondslag'!$O$20)*(M19)+('Vergoedingen grondslag'!$O$20*'Rekenblad Aansluiting'!$N19+'Vergoedingen grondslag'!$R$20+'Vergoedingen grondslag'!$U$20)/Parameters!$B$9),(('Vergoedingen grondslag'!$F$11+'Vergoedingen grondslag'!$I$11+'Vergoedingen grondslag'!$L$11+'Vergoedingen grondslag'!$O$11)*(M19))+('Vergoedingen grondslag'!$O$11*'Rekenblad Aansluiting'!$N19+'Vergoedingen grondslag'!$R$11+'Vergoedingen grondslag'!$U$11+'Vergoedingen grondslag'!$X$11)/36))</f>
        <v>0</v>
      </c>
      <c r="U19" s="142">
        <f>M19*Parameters!$B$12</f>
        <v>0</v>
      </c>
      <c r="V19" s="136">
        <f t="shared" si="4"/>
        <v>10.277777777777779</v>
      </c>
      <c r="W19" s="142">
        <f t="shared" si="5"/>
        <v>20.048699716666665</v>
      </c>
      <c r="X19" s="205">
        <f t="shared" si="6"/>
        <v>82.72907806111111</v>
      </c>
      <c r="Y19" s="173">
        <f t="shared" si="7"/>
        <v>0.80493157032432439</v>
      </c>
      <c r="Z19" s="120" t="b">
        <f t="shared" si="8"/>
        <v>0</v>
      </c>
      <c r="AA19" s="331" t="s">
        <v>868</v>
      </c>
      <c r="AB19" s="4">
        <v>0</v>
      </c>
      <c r="AD19" s="142"/>
      <c r="AE19" s="149"/>
      <c r="AF19" s="213"/>
      <c r="AG19" s="213"/>
      <c r="AH19" s="1029"/>
      <c r="AI19" s="1030"/>
      <c r="AJ19" s="173"/>
      <c r="AK19" s="133"/>
    </row>
    <row r="20" spans="1:37" ht="14.4">
      <c r="A20" s="182" t="str">
        <f t="shared" si="0"/>
        <v>KPN BelVrij Altijd CMISDN1VVE overstap</v>
      </c>
      <c r="B20" s="120" t="str">
        <f t="shared" si="1"/>
        <v>KPN BelVrij Altijd CMISDN1VVE overstap</v>
      </c>
      <c r="C20" s="133" t="s">
        <v>1279</v>
      </c>
      <c r="D20" s="133" t="s">
        <v>464</v>
      </c>
      <c r="E20" s="133"/>
      <c r="F20" s="133" t="s">
        <v>4</v>
      </c>
      <c r="G20" s="133" t="s">
        <v>459</v>
      </c>
      <c r="H20" s="133" t="str">
        <f t="shared" si="2"/>
        <v>ISDN1VVA</v>
      </c>
      <c r="I20" s="120" t="str">
        <f t="shared" si="3"/>
        <v>ISDN1VVE overstap</v>
      </c>
      <c r="J20" s="493" t="str">
        <f>IF(D20="","",INDEX(Mapping!$H:$H,MATCH($H20,Mapping!$B:$B,0)))</f>
        <v>ISDN1VVA</v>
      </c>
      <c r="K20" s="494" t="str">
        <f>IF(D20="","",INDEX(Mapping!$H:$H,MATCH($I20,Mapping!$B:$B,0)))</f>
        <v>ISDN1VVE overstap</v>
      </c>
      <c r="L20" s="649">
        <f>MATCH(C20&amp;D20&amp;E20,'Tarieven ZM'!$B:$B,0)</f>
        <v>15</v>
      </c>
      <c r="M20" s="213">
        <f>INDEX('Tarieven ZM'!$F:$F,'Rekenblad Aansluiting'!$L20)</f>
        <v>100</v>
      </c>
      <c r="N20" s="213">
        <f>INDEX('Tarieven ZM'!$G:$H,'Rekenblad Aansluiting'!$L20,MATCH($G20,'Tarieven ZM'!$G$4:$H$4))</f>
        <v>100</v>
      </c>
      <c r="O20" s="652">
        <f>M20+N20/Parameters!$B$9</f>
        <v>102.77777777777777</v>
      </c>
      <c r="P20" s="495">
        <f>IF('Rekenblad Aansluiting'!D20="",0,INDEX('inkoop aansluitingen obv ULL'!E:E,MATCH(K20,'inkoop aansluitingen obv ULL'!B:B,0)))</f>
        <v>9.2350886055555534</v>
      </c>
      <c r="Q20" s="142">
        <f>IF('Rekenblad Aansluiting'!D20="",0,INDEX('inkoop aansluitingen obv ULL'!F:F,MATCH(K20,'inkoop aansluitingen obv ULL'!B:B,0)))</f>
        <v>19.29</v>
      </c>
      <c r="R20" s="652">
        <f>P20+Q20/'Parameters ULL'!$E$10</f>
        <v>9.7709219388888862</v>
      </c>
      <c r="S20" s="138">
        <f>IF(RIGHT(C20,2)="CM",O20*MAX(Parameters!$B$2:$B$4),O20*Parameters!$B$3)</f>
        <v>10.277777777777779</v>
      </c>
      <c r="T20" s="142">
        <f>IF(RIGHT(C20,2)="CM",0,IF(LEFT(C20,2)="TZ",(('Vergoedingen grondslag'!$F$20+'Vergoedingen grondslag'!$I$20+'Vergoedingen grondslag'!$L$20+'Vergoedingen grondslag'!$O$20)*(M20)+('Vergoedingen grondslag'!$O$20*'Rekenblad Aansluiting'!$N20+'Vergoedingen grondslag'!$R$20+'Vergoedingen grondslag'!$U$20)/Parameters!$B$9),(('Vergoedingen grondslag'!$F$11+'Vergoedingen grondslag'!$I$11+'Vergoedingen grondslag'!$L$11+'Vergoedingen grondslag'!$O$11)*(M20))+('Vergoedingen grondslag'!$O$11*'Rekenblad Aansluiting'!$N20+'Vergoedingen grondslag'!$R$11+'Vergoedingen grondslag'!$U$11+'Vergoedingen grondslag'!$X$11)/36))</f>
        <v>0</v>
      </c>
      <c r="U20" s="142">
        <f>M20*Parameters!$B$12</f>
        <v>0</v>
      </c>
      <c r="V20" s="136">
        <f t="shared" si="4"/>
        <v>10.277777777777779</v>
      </c>
      <c r="W20" s="142">
        <f t="shared" si="5"/>
        <v>20.048699716666665</v>
      </c>
      <c r="X20" s="205">
        <f t="shared" si="6"/>
        <v>82.72907806111111</v>
      </c>
      <c r="Y20" s="173">
        <f t="shared" si="7"/>
        <v>0.80493157032432439</v>
      </c>
      <c r="Z20" s="120" t="b">
        <f t="shared" si="8"/>
        <v>0</v>
      </c>
      <c r="AA20" s="331" t="s">
        <v>868</v>
      </c>
      <c r="AB20" s="4">
        <v>0</v>
      </c>
      <c r="AD20" s="142"/>
      <c r="AE20" s="149"/>
      <c r="AF20" s="213"/>
      <c r="AG20" s="213"/>
      <c r="AH20" s="1029"/>
      <c r="AI20" s="1030"/>
      <c r="AJ20" s="173"/>
      <c r="AK20" s="133"/>
    </row>
    <row r="21" spans="1:37" ht="14.4">
      <c r="A21" s="182" t="str">
        <f t="shared" si="0"/>
        <v>KPN BelVrij Altijd CMISDN2VVE overstap</v>
      </c>
      <c r="B21" s="120" t="str">
        <f t="shared" si="1"/>
        <v>KPN BelVrij Altijd CMISDN2VVE overstap</v>
      </c>
      <c r="C21" s="133" t="s">
        <v>1279</v>
      </c>
      <c r="D21" s="133" t="s">
        <v>465</v>
      </c>
      <c r="E21" s="133"/>
      <c r="F21" s="133" t="s">
        <v>4</v>
      </c>
      <c r="G21" s="133" t="s">
        <v>459</v>
      </c>
      <c r="H21" s="133" t="str">
        <f t="shared" si="2"/>
        <v>ISDN2VVA</v>
      </c>
      <c r="I21" s="120" t="str">
        <f t="shared" si="3"/>
        <v>ISDN2VVE overstap</v>
      </c>
      <c r="J21" s="493" t="str">
        <f>IF(D21="","",INDEX(Mapping!$H:$H,MATCH($H21,Mapping!$B:$B,0)))</f>
        <v>ISDN2VVA</v>
      </c>
      <c r="K21" s="494" t="str">
        <f>IF(D21="","",INDEX(Mapping!$H:$H,MATCH($I21,Mapping!$B:$B,0)))</f>
        <v>ISDN2VVE overstap</v>
      </c>
      <c r="L21" s="649">
        <f>MATCH(C21&amp;D21&amp;E21,'Tarieven ZM'!$B:$B,0)</f>
        <v>16</v>
      </c>
      <c r="M21" s="213">
        <f>INDEX('Tarieven ZM'!$F:$F,'Rekenblad Aansluiting'!$L21)</f>
        <v>100</v>
      </c>
      <c r="N21" s="213">
        <f>INDEX('Tarieven ZM'!$G:$H,'Rekenblad Aansluiting'!$L21,MATCH($G21,'Tarieven ZM'!$G$4:$H$4))</f>
        <v>100</v>
      </c>
      <c r="O21" s="652">
        <f>M21+N21/Parameters!$B$9</f>
        <v>102.77777777777777</v>
      </c>
      <c r="P21" s="495">
        <f>IF('Rekenblad Aansluiting'!D21="",0,INDEX('inkoop aansluitingen obv ULL'!E:E,MATCH(K21,'inkoop aansluitingen obv ULL'!B:B,0)))</f>
        <v>9.2350886055555534</v>
      </c>
      <c r="Q21" s="142">
        <f>IF('Rekenblad Aansluiting'!D21="",0,INDEX('inkoop aansluitingen obv ULL'!F:F,MATCH(K21,'inkoop aansluitingen obv ULL'!B:B,0)))</f>
        <v>19.29</v>
      </c>
      <c r="R21" s="652">
        <f>P21+Q21/'Parameters ULL'!$E$10</f>
        <v>9.7709219388888862</v>
      </c>
      <c r="S21" s="138">
        <f>IF(RIGHT(C21,2)="CM",O21*MAX(Parameters!$B$2:$B$4),O21*Parameters!$B$3)</f>
        <v>10.277777777777779</v>
      </c>
      <c r="T21" s="142">
        <f>IF(RIGHT(C21,2)="CM",0,IF(LEFT(C21,2)="TZ",(('Vergoedingen grondslag'!$F$20+'Vergoedingen grondslag'!$I$20+'Vergoedingen grondslag'!$L$20+'Vergoedingen grondslag'!$O$20)*(M21)+('Vergoedingen grondslag'!$O$20*'Rekenblad Aansluiting'!$N21+'Vergoedingen grondslag'!$R$20+'Vergoedingen grondslag'!$U$20)/Parameters!$B$9),(('Vergoedingen grondslag'!$F$11+'Vergoedingen grondslag'!$I$11+'Vergoedingen grondslag'!$L$11+'Vergoedingen grondslag'!$O$11)*(M21))+('Vergoedingen grondslag'!$O$11*'Rekenblad Aansluiting'!$N21+'Vergoedingen grondslag'!$R$11+'Vergoedingen grondslag'!$U$11+'Vergoedingen grondslag'!$X$11)/36))</f>
        <v>0</v>
      </c>
      <c r="U21" s="142">
        <f>M21*Parameters!$B$12</f>
        <v>0</v>
      </c>
      <c r="V21" s="136">
        <f t="shared" si="4"/>
        <v>10.277777777777779</v>
      </c>
      <c r="W21" s="142">
        <f t="shared" si="5"/>
        <v>20.048699716666665</v>
      </c>
      <c r="X21" s="205">
        <f t="shared" si="6"/>
        <v>82.72907806111111</v>
      </c>
      <c r="Y21" s="173">
        <f t="shared" si="7"/>
        <v>0.80493157032432439</v>
      </c>
      <c r="Z21" s="120" t="b">
        <f t="shared" si="8"/>
        <v>0</v>
      </c>
      <c r="AA21" s="331" t="s">
        <v>868</v>
      </c>
      <c r="AB21" s="4">
        <v>0</v>
      </c>
      <c r="AD21" s="142"/>
      <c r="AE21" s="149"/>
      <c r="AF21" s="213"/>
      <c r="AG21" s="213"/>
      <c r="AH21" s="1029"/>
      <c r="AI21" s="1030"/>
      <c r="AJ21" s="173"/>
      <c r="AK21" s="133"/>
    </row>
    <row r="22" spans="1:37" ht="14.4">
      <c r="A22" s="182" t="str">
        <f t="shared" ref="A22:A27" si="9">C22&amp;D22&amp;E22&amp;G22</f>
        <v>KPN BelBasis CMPSTNVVE nieuwe aanleg</v>
      </c>
      <c r="B22" s="120" t="str">
        <f t="shared" ref="B22:B27" si="10">C22&amp;D22&amp;G22</f>
        <v>KPN BelBasis CMPSTNVVE nieuwe aanleg</v>
      </c>
      <c r="C22" s="133" t="s">
        <v>1134</v>
      </c>
      <c r="D22" s="133" t="s">
        <v>463</v>
      </c>
      <c r="E22" s="133"/>
      <c r="F22" s="133" t="s">
        <v>4</v>
      </c>
      <c r="G22" s="133" t="s">
        <v>458</v>
      </c>
      <c r="H22" s="133" t="str">
        <f t="shared" ref="H22:H27" si="11">D22&amp;F22</f>
        <v>PSTNVVA</v>
      </c>
      <c r="I22" s="120" t="str">
        <f t="shared" ref="I22:I27" si="12">D22&amp;G22</f>
        <v>PSTNVVE nieuwe aanleg</v>
      </c>
      <c r="J22" s="493" t="str">
        <f>IF(D22="","",INDEX(Mapping!$H:$H,MATCH($H22,Mapping!$B:$B,0)))</f>
        <v>PSTNVVA</v>
      </c>
      <c r="K22" s="494" t="str">
        <f>IF(D22="","",INDEX(Mapping!$H:$H,MATCH($I22,Mapping!$B:$B,0)))</f>
        <v>PSTNVVE nieuwe aanleg</v>
      </c>
      <c r="L22" s="649">
        <f>MATCH(C22&amp;D22&amp;E22,'Tarieven ZM'!$B:$B,0)</f>
        <v>5</v>
      </c>
      <c r="M22" s="213">
        <f>INDEX('Tarieven ZM'!$F:$F,'Rekenblad Aansluiting'!$L22)</f>
        <v>100</v>
      </c>
      <c r="N22" s="213">
        <f>INDEX('Tarieven ZM'!$G:$H,'Rekenblad Aansluiting'!$L22,MATCH($G22,'Tarieven ZM'!$G$4:$H$4))</f>
        <v>100</v>
      </c>
      <c r="O22" s="652">
        <f>M22+N22/Parameters!$B$9</f>
        <v>102.77777777777777</v>
      </c>
      <c r="P22" s="495">
        <f>IF('Rekenblad Aansluiting'!D22="",0,INDEX('inkoop aansluitingen obv ULL'!E:E,MATCH(K22,'inkoop aansluitingen obv ULL'!B:B,0)))</f>
        <v>9.2350886055555534</v>
      </c>
      <c r="Q22" s="142">
        <f>IF('Rekenblad Aansluiting'!D22="",0,INDEX('inkoop aansluitingen obv ULL'!F:F,MATCH(K22,'inkoop aansluitingen obv ULL'!B:B,0)))</f>
        <v>76.89</v>
      </c>
      <c r="R22" s="652">
        <f>P22+Q22/'Parameters ULL'!$E$10</f>
        <v>11.370921938888888</v>
      </c>
      <c r="S22" s="138">
        <f>IF(RIGHT(C22,2)="CM",O22*MAX(Parameters!$B$2:$B$4),O22*Parameters!$B$3)</f>
        <v>10.277777777777779</v>
      </c>
      <c r="T22" s="142">
        <f>IF(RIGHT(C22,2)="CM",0,IF(LEFT(C22,2)="TZ",(('Vergoedingen grondslag'!$F$20+'Vergoedingen grondslag'!$I$20+'Vergoedingen grondslag'!$L$20+'Vergoedingen grondslag'!$O$20)*(M22)+('Vergoedingen grondslag'!$O$20*'Rekenblad Aansluiting'!$N22+'Vergoedingen grondslag'!$R$20+'Vergoedingen grondslag'!$U$20)/Parameters!$B$9),(('Vergoedingen grondslag'!$F$11+'Vergoedingen grondslag'!$I$11+'Vergoedingen grondslag'!$L$11+'Vergoedingen grondslag'!$O$11)*(M22))+('Vergoedingen grondslag'!$O$11*'Rekenblad Aansluiting'!$N22+'Vergoedingen grondslag'!$R$11+'Vergoedingen grondslag'!$U$11+'Vergoedingen grondslag'!$X$11)/36))</f>
        <v>0</v>
      </c>
      <c r="U22" s="142">
        <f>M22*Parameters!$B$12</f>
        <v>0</v>
      </c>
      <c r="V22" s="136">
        <f t="shared" ref="V22:V27" si="13">SUM(S22:U22)</f>
        <v>10.277777777777779</v>
      </c>
      <c r="W22" s="142">
        <f t="shared" ref="W22:W27" si="14">R22+V22</f>
        <v>21.648699716666666</v>
      </c>
      <c r="X22" s="205">
        <f>O22-W22</f>
        <v>81.129078061111102</v>
      </c>
      <c r="Y22" s="173">
        <f>X22/O22</f>
        <v>0.78936400275675667</v>
      </c>
      <c r="Z22" s="120" t="b">
        <f t="shared" ref="Z22:Z27" si="15">Y22&lt;0</f>
        <v>0</v>
      </c>
      <c r="AA22" s="331" t="s">
        <v>868</v>
      </c>
      <c r="AB22" s="4">
        <v>0</v>
      </c>
      <c r="AD22" s="142"/>
      <c r="AE22" s="149"/>
      <c r="AF22" s="213"/>
      <c r="AG22" s="213"/>
      <c r="AH22" s="1029"/>
      <c r="AI22" s="1030"/>
      <c r="AJ22" s="173"/>
      <c r="AK22" s="133"/>
    </row>
    <row r="23" spans="1:37" ht="14.4">
      <c r="A23" s="182" t="str">
        <f t="shared" si="9"/>
        <v>KPN BelBasis CMISDN1VVE nieuwe aanleg</v>
      </c>
      <c r="B23" s="120" t="str">
        <f t="shared" si="10"/>
        <v>KPN BelBasis CMISDN1VVE nieuwe aanleg</v>
      </c>
      <c r="C23" s="133" t="s">
        <v>1134</v>
      </c>
      <c r="D23" s="133" t="s">
        <v>464</v>
      </c>
      <c r="E23" s="133"/>
      <c r="F23" s="133" t="s">
        <v>4</v>
      </c>
      <c r="G23" s="133" t="s">
        <v>458</v>
      </c>
      <c r="H23" s="133" t="str">
        <f t="shared" si="11"/>
        <v>ISDN1VVA</v>
      </c>
      <c r="I23" s="120" t="str">
        <f t="shared" si="12"/>
        <v>ISDN1VVE nieuwe aanleg</v>
      </c>
      <c r="J23" s="493" t="str">
        <f>IF(D23="","",INDEX(Mapping!$H:$H,MATCH($H23,Mapping!$B:$B,0)))</f>
        <v>ISDN1VVA</v>
      </c>
      <c r="K23" s="494" t="str">
        <f>IF(D23="","",INDEX(Mapping!$H:$H,MATCH($I23,Mapping!$B:$B,0)))</f>
        <v>ISDN1VVE nieuwe aanleg</v>
      </c>
      <c r="L23" s="649">
        <f>MATCH(C23&amp;D23&amp;E23,'Tarieven ZM'!$B:$B,0)</f>
        <v>6</v>
      </c>
      <c r="M23" s="213">
        <f>INDEX('Tarieven ZM'!$F:$F,'Rekenblad Aansluiting'!$L23)</f>
        <v>100</v>
      </c>
      <c r="N23" s="213">
        <f>INDEX('Tarieven ZM'!$G:$H,'Rekenblad Aansluiting'!$L23,MATCH($G23,'Tarieven ZM'!$G$4:$H$4))</f>
        <v>100</v>
      </c>
      <c r="O23" s="652">
        <f>M23+N23/Parameters!$B$9</f>
        <v>102.77777777777777</v>
      </c>
      <c r="P23" s="495">
        <f>IF('Rekenblad Aansluiting'!D23="",0,INDEX('inkoop aansluitingen obv ULL'!E:E,MATCH(K23,'inkoop aansluitingen obv ULL'!B:B,0)))</f>
        <v>9.2350886055555534</v>
      </c>
      <c r="Q23" s="142">
        <f>IF('Rekenblad Aansluiting'!D23="",0,INDEX('inkoop aansluitingen obv ULL'!F:F,MATCH(K23,'inkoop aansluitingen obv ULL'!B:B,0)))</f>
        <v>76.89</v>
      </c>
      <c r="R23" s="652">
        <f>P23+Q23/'Parameters ULL'!$E$10</f>
        <v>11.370921938888888</v>
      </c>
      <c r="S23" s="138">
        <f>IF(RIGHT(C23,2)="CM",O23*MAX(Parameters!$B$2:$B$4),O23*Parameters!$B$3)</f>
        <v>10.277777777777779</v>
      </c>
      <c r="T23" s="142">
        <f>IF(RIGHT(C23,2)="CM",0,IF(LEFT(C23,2)="TZ",(('Vergoedingen grondslag'!$F$20+'Vergoedingen grondslag'!$I$20+'Vergoedingen grondslag'!$L$20+'Vergoedingen grondslag'!$O$20)*(M23)+('Vergoedingen grondslag'!$O$20*'Rekenblad Aansluiting'!$N23+'Vergoedingen grondslag'!$R$20+'Vergoedingen grondslag'!$U$20)/Parameters!$B$9),(('Vergoedingen grondslag'!$F$11+'Vergoedingen grondslag'!$I$11+'Vergoedingen grondslag'!$L$11+'Vergoedingen grondslag'!$O$11)*(M23))+('Vergoedingen grondslag'!$O$11*'Rekenblad Aansluiting'!$N23+'Vergoedingen grondslag'!$R$11+'Vergoedingen grondslag'!$U$11+'Vergoedingen grondslag'!$X$11)/36))</f>
        <v>0</v>
      </c>
      <c r="U23" s="142">
        <f>M23*Parameters!$B$12</f>
        <v>0</v>
      </c>
      <c r="V23" s="136">
        <f t="shared" si="13"/>
        <v>10.277777777777779</v>
      </c>
      <c r="W23" s="142">
        <f t="shared" si="14"/>
        <v>21.648699716666666</v>
      </c>
      <c r="X23" s="205">
        <f t="shared" ref="X23:X27" si="16">O23-W23</f>
        <v>81.129078061111102</v>
      </c>
      <c r="Y23" s="173">
        <f t="shared" ref="Y23:Y27" si="17">X23/O23</f>
        <v>0.78936400275675667</v>
      </c>
      <c r="Z23" s="120" t="b">
        <f t="shared" si="15"/>
        <v>0</v>
      </c>
      <c r="AA23" s="331" t="s">
        <v>868</v>
      </c>
      <c r="AB23" s="4">
        <v>0</v>
      </c>
      <c r="AD23" s="142"/>
      <c r="AE23" s="149"/>
      <c r="AF23" s="213"/>
      <c r="AG23" s="213"/>
      <c r="AH23" s="1029"/>
      <c r="AI23" s="1030"/>
      <c r="AJ23" s="173"/>
      <c r="AK23" s="133"/>
    </row>
    <row r="24" spans="1:37" ht="14.4">
      <c r="A24" s="182" t="str">
        <f t="shared" si="9"/>
        <v>KPN BelBasis CMISDN2VVE nieuwe aanleg</v>
      </c>
      <c r="B24" s="120" t="str">
        <f t="shared" si="10"/>
        <v>KPN BelBasis CMISDN2VVE nieuwe aanleg</v>
      </c>
      <c r="C24" s="133" t="s">
        <v>1134</v>
      </c>
      <c r="D24" s="133" t="s">
        <v>465</v>
      </c>
      <c r="E24" s="133"/>
      <c r="F24" s="133" t="s">
        <v>4</v>
      </c>
      <c r="G24" s="133" t="s">
        <v>458</v>
      </c>
      <c r="H24" s="133" t="str">
        <f t="shared" si="11"/>
        <v>ISDN2VVA</v>
      </c>
      <c r="I24" s="120" t="str">
        <f t="shared" si="12"/>
        <v>ISDN2VVE nieuwe aanleg</v>
      </c>
      <c r="J24" s="493" t="str">
        <f>IF(D24="","",INDEX(Mapping!$H:$H,MATCH($H24,Mapping!$B:$B,0)))</f>
        <v>ISDN2VVA</v>
      </c>
      <c r="K24" s="494" t="str">
        <f>IF(D24="","",INDEX(Mapping!$H:$H,MATCH($I24,Mapping!$B:$B,0)))</f>
        <v>ISDN2VVE nieuwe aanleg</v>
      </c>
      <c r="L24" s="649">
        <f>MATCH(C24&amp;D24&amp;E24,'Tarieven ZM'!$B:$B,0)</f>
        <v>7</v>
      </c>
      <c r="M24" s="213">
        <f>INDEX('Tarieven ZM'!$F:$F,'Rekenblad Aansluiting'!$L24)</f>
        <v>100</v>
      </c>
      <c r="N24" s="213">
        <f>INDEX('Tarieven ZM'!$G:$H,'Rekenblad Aansluiting'!$L24,MATCH($G24,'Tarieven ZM'!$G$4:$H$4))</f>
        <v>100</v>
      </c>
      <c r="O24" s="652">
        <f>M24+N24/Parameters!$B$9</f>
        <v>102.77777777777777</v>
      </c>
      <c r="P24" s="495">
        <f>IF('Rekenblad Aansluiting'!D24="",0,INDEX('inkoop aansluitingen obv ULL'!E:E,MATCH(K24,'inkoop aansluitingen obv ULL'!B:B,0)))</f>
        <v>9.2350886055555534</v>
      </c>
      <c r="Q24" s="142">
        <f>IF('Rekenblad Aansluiting'!D24="",0,INDEX('inkoop aansluitingen obv ULL'!F:F,MATCH(K24,'inkoop aansluitingen obv ULL'!B:B,0)))</f>
        <v>76.89</v>
      </c>
      <c r="R24" s="652">
        <f>P24+Q24/'Parameters ULL'!$E$10</f>
        <v>11.370921938888888</v>
      </c>
      <c r="S24" s="138">
        <f>IF(RIGHT(C24,2)="CM",O24*MAX(Parameters!$B$2:$B$4),O24*Parameters!$B$3)</f>
        <v>10.277777777777779</v>
      </c>
      <c r="T24" s="142">
        <f>IF(RIGHT(C24,2)="CM",0,IF(LEFT(C24,2)="TZ",(('Vergoedingen grondslag'!$F$20+'Vergoedingen grondslag'!$I$20+'Vergoedingen grondslag'!$L$20+'Vergoedingen grondslag'!$O$20)*(M24)+('Vergoedingen grondslag'!$O$20*'Rekenblad Aansluiting'!$N24+'Vergoedingen grondslag'!$R$20+'Vergoedingen grondslag'!$U$20)/Parameters!$B$9),(('Vergoedingen grondslag'!$F$11+'Vergoedingen grondslag'!$I$11+'Vergoedingen grondslag'!$L$11+'Vergoedingen grondslag'!$O$11)*(M24))+('Vergoedingen grondslag'!$O$11*'Rekenblad Aansluiting'!$N24+'Vergoedingen grondslag'!$R$11+'Vergoedingen grondslag'!$U$11+'Vergoedingen grondslag'!$X$11)/36))</f>
        <v>0</v>
      </c>
      <c r="U24" s="142">
        <f>M24*Parameters!$B$12</f>
        <v>0</v>
      </c>
      <c r="V24" s="136">
        <f t="shared" si="13"/>
        <v>10.277777777777779</v>
      </c>
      <c r="W24" s="142">
        <f t="shared" si="14"/>
        <v>21.648699716666666</v>
      </c>
      <c r="X24" s="205">
        <f t="shared" si="16"/>
        <v>81.129078061111102</v>
      </c>
      <c r="Y24" s="173">
        <f t="shared" si="17"/>
        <v>0.78936400275675667</v>
      </c>
      <c r="Z24" s="120" t="b">
        <f t="shared" si="15"/>
        <v>0</v>
      </c>
      <c r="AA24" s="331" t="s">
        <v>868</v>
      </c>
      <c r="AB24" s="4">
        <v>0</v>
      </c>
      <c r="AD24" s="142"/>
      <c r="AE24" s="149"/>
      <c r="AF24" s="213"/>
      <c r="AG24" s="213"/>
      <c r="AH24" s="1029"/>
      <c r="AI24" s="1030"/>
      <c r="AJ24" s="173"/>
      <c r="AK24" s="133"/>
    </row>
    <row r="25" spans="1:37" ht="14.4">
      <c r="A25" s="182" t="str">
        <f t="shared" si="9"/>
        <v>KPN BelBasis CMPSTNVVE overstap</v>
      </c>
      <c r="B25" s="120" t="str">
        <f t="shared" si="10"/>
        <v>KPN BelBasis CMPSTNVVE overstap</v>
      </c>
      <c r="C25" s="133" t="s">
        <v>1134</v>
      </c>
      <c r="D25" s="133" t="s">
        <v>463</v>
      </c>
      <c r="E25" s="133"/>
      <c r="F25" s="133" t="s">
        <v>4</v>
      </c>
      <c r="G25" s="133" t="s">
        <v>459</v>
      </c>
      <c r="H25" s="133" t="str">
        <f t="shared" si="11"/>
        <v>PSTNVVA</v>
      </c>
      <c r="I25" s="120" t="str">
        <f t="shared" si="12"/>
        <v>PSTNVVE overstap</v>
      </c>
      <c r="J25" s="493" t="str">
        <f>IF(D25="","",INDEX(Mapping!$H:$H,MATCH($H25,Mapping!$B:$B,0)))</f>
        <v>PSTNVVA</v>
      </c>
      <c r="K25" s="494" t="str">
        <f>IF(D25="","",INDEX(Mapping!$H:$H,MATCH($I25,Mapping!$B:$B,0)))</f>
        <v>PSTNVVE overstap</v>
      </c>
      <c r="L25" s="649">
        <f>MATCH(C25&amp;D25&amp;E25,'Tarieven ZM'!$B:$B,0)</f>
        <v>5</v>
      </c>
      <c r="M25" s="213">
        <f>INDEX('Tarieven ZM'!$F:$F,'Rekenblad Aansluiting'!$L25)</f>
        <v>100</v>
      </c>
      <c r="N25" s="213">
        <f>INDEX('Tarieven ZM'!$G:$H,'Rekenblad Aansluiting'!$L25,MATCH($G25,'Tarieven ZM'!$G$4:$H$4))</f>
        <v>100</v>
      </c>
      <c r="O25" s="652">
        <f>M25+N25/Parameters!$B$9</f>
        <v>102.77777777777777</v>
      </c>
      <c r="P25" s="495">
        <f>IF('Rekenblad Aansluiting'!D25="",0,INDEX('inkoop aansluitingen obv ULL'!E:E,MATCH(K25,'inkoop aansluitingen obv ULL'!B:B,0)))</f>
        <v>9.2350886055555534</v>
      </c>
      <c r="Q25" s="142">
        <f>IF('Rekenblad Aansluiting'!D25="",0,INDEX('inkoop aansluitingen obv ULL'!F:F,MATCH(K25,'inkoop aansluitingen obv ULL'!B:B,0)))</f>
        <v>19.29</v>
      </c>
      <c r="R25" s="652">
        <f>P25+Q25/'Parameters ULL'!$E$10</f>
        <v>9.7709219388888862</v>
      </c>
      <c r="S25" s="138">
        <f>IF(RIGHT(C25,2)="CM",O25*MAX(Parameters!$B$2:$B$4),O25*Parameters!$B$3)</f>
        <v>10.277777777777779</v>
      </c>
      <c r="T25" s="142">
        <f>IF(RIGHT(C25,2)="CM",0,IF(LEFT(C25,2)="TZ",(('Vergoedingen grondslag'!$F$20+'Vergoedingen grondslag'!$I$20+'Vergoedingen grondslag'!$L$20+'Vergoedingen grondslag'!$O$20)*(M25)+('Vergoedingen grondslag'!$O$20*'Rekenblad Aansluiting'!$N25+'Vergoedingen grondslag'!$R$20+'Vergoedingen grondslag'!$U$20)/Parameters!$B$9),(('Vergoedingen grondslag'!$F$11+'Vergoedingen grondslag'!$I$11+'Vergoedingen grondslag'!$L$11+'Vergoedingen grondslag'!$O$11)*(M25))+('Vergoedingen grondslag'!$O$11*'Rekenblad Aansluiting'!$N25+'Vergoedingen grondslag'!$R$11+'Vergoedingen grondslag'!$U$11+'Vergoedingen grondslag'!$X$11)/36))</f>
        <v>0</v>
      </c>
      <c r="U25" s="142">
        <f>M25*Parameters!$B$12</f>
        <v>0</v>
      </c>
      <c r="V25" s="136">
        <f t="shared" si="13"/>
        <v>10.277777777777779</v>
      </c>
      <c r="W25" s="142">
        <f t="shared" si="14"/>
        <v>20.048699716666665</v>
      </c>
      <c r="X25" s="205">
        <f t="shared" si="16"/>
        <v>82.72907806111111</v>
      </c>
      <c r="Y25" s="173">
        <f t="shared" si="17"/>
        <v>0.80493157032432439</v>
      </c>
      <c r="Z25" s="120" t="b">
        <f t="shared" si="15"/>
        <v>0</v>
      </c>
      <c r="AA25" s="331" t="s">
        <v>868</v>
      </c>
      <c r="AB25" s="4">
        <v>0</v>
      </c>
      <c r="AD25" s="142"/>
      <c r="AE25" s="149"/>
      <c r="AF25" s="213"/>
      <c r="AG25" s="213"/>
      <c r="AH25" s="1029"/>
      <c r="AI25" s="1030"/>
      <c r="AJ25" s="173"/>
      <c r="AK25" s="133"/>
    </row>
    <row r="26" spans="1:37" ht="14.4">
      <c r="A26" s="182" t="str">
        <f t="shared" si="9"/>
        <v>KPN BelBasis CMISDN1VVE overstap</v>
      </c>
      <c r="B26" s="120" t="str">
        <f t="shared" si="10"/>
        <v>KPN BelBasis CMISDN1VVE overstap</v>
      </c>
      <c r="C26" s="133" t="s">
        <v>1134</v>
      </c>
      <c r="D26" s="133" t="s">
        <v>464</v>
      </c>
      <c r="E26" s="133"/>
      <c r="F26" s="133" t="s">
        <v>4</v>
      </c>
      <c r="G26" s="133" t="s">
        <v>459</v>
      </c>
      <c r="H26" s="133" t="str">
        <f t="shared" si="11"/>
        <v>ISDN1VVA</v>
      </c>
      <c r="I26" s="120" t="str">
        <f t="shared" si="12"/>
        <v>ISDN1VVE overstap</v>
      </c>
      <c r="J26" s="493" t="str">
        <f>IF(D26="","",INDEX(Mapping!$H:$H,MATCH($H26,Mapping!$B:$B,0)))</f>
        <v>ISDN1VVA</v>
      </c>
      <c r="K26" s="494" t="str">
        <f>IF(D26="","",INDEX(Mapping!$H:$H,MATCH($I26,Mapping!$B:$B,0)))</f>
        <v>ISDN1VVE overstap</v>
      </c>
      <c r="L26" s="649">
        <f>MATCH(C26&amp;D26&amp;E26,'Tarieven ZM'!$B:$B,0)</f>
        <v>6</v>
      </c>
      <c r="M26" s="213">
        <f>INDEX('Tarieven ZM'!$F:$F,'Rekenblad Aansluiting'!$L26)</f>
        <v>100</v>
      </c>
      <c r="N26" s="213">
        <f>INDEX('Tarieven ZM'!$G:$H,'Rekenblad Aansluiting'!$L26,MATCH($G26,'Tarieven ZM'!$G$4:$H$4))</f>
        <v>100</v>
      </c>
      <c r="O26" s="652">
        <f>M26+N26/Parameters!$B$9</f>
        <v>102.77777777777777</v>
      </c>
      <c r="P26" s="495">
        <f>IF('Rekenblad Aansluiting'!D26="",0,INDEX('inkoop aansluitingen obv ULL'!E:E,MATCH(K26,'inkoop aansluitingen obv ULL'!B:B,0)))</f>
        <v>9.2350886055555534</v>
      </c>
      <c r="Q26" s="142">
        <f>IF('Rekenblad Aansluiting'!D26="",0,INDEX('inkoop aansluitingen obv ULL'!F:F,MATCH(K26,'inkoop aansluitingen obv ULL'!B:B,0)))</f>
        <v>19.29</v>
      </c>
      <c r="R26" s="652">
        <f>P26+Q26/'Parameters ULL'!$E$10</f>
        <v>9.7709219388888862</v>
      </c>
      <c r="S26" s="138">
        <f>IF(RIGHT(C26,2)="CM",O26*MAX(Parameters!$B$2:$B$4),O26*Parameters!$B$3)</f>
        <v>10.277777777777779</v>
      </c>
      <c r="T26" s="142">
        <f>IF(RIGHT(C26,2)="CM",0,IF(LEFT(C26,2)="TZ",(('Vergoedingen grondslag'!$F$20+'Vergoedingen grondslag'!$I$20+'Vergoedingen grondslag'!$L$20+'Vergoedingen grondslag'!$O$20)*(M26)+('Vergoedingen grondslag'!$O$20*'Rekenblad Aansluiting'!$N26+'Vergoedingen grondslag'!$R$20+'Vergoedingen grondslag'!$U$20)/Parameters!$B$9),(('Vergoedingen grondslag'!$F$11+'Vergoedingen grondslag'!$I$11+'Vergoedingen grondslag'!$L$11+'Vergoedingen grondslag'!$O$11)*(M26))+('Vergoedingen grondslag'!$O$11*'Rekenblad Aansluiting'!$N26+'Vergoedingen grondslag'!$R$11+'Vergoedingen grondslag'!$U$11+'Vergoedingen grondslag'!$X$11)/36))</f>
        <v>0</v>
      </c>
      <c r="U26" s="142">
        <f>M26*Parameters!$B$12</f>
        <v>0</v>
      </c>
      <c r="V26" s="136">
        <f t="shared" si="13"/>
        <v>10.277777777777779</v>
      </c>
      <c r="W26" s="142">
        <f t="shared" si="14"/>
        <v>20.048699716666665</v>
      </c>
      <c r="X26" s="205">
        <f t="shared" si="16"/>
        <v>82.72907806111111</v>
      </c>
      <c r="Y26" s="173">
        <f t="shared" si="17"/>
        <v>0.80493157032432439</v>
      </c>
      <c r="Z26" s="120" t="b">
        <f t="shared" si="15"/>
        <v>0</v>
      </c>
      <c r="AA26" s="331" t="s">
        <v>868</v>
      </c>
      <c r="AB26" s="4">
        <v>0</v>
      </c>
      <c r="AD26" s="142"/>
      <c r="AE26" s="149"/>
      <c r="AF26" s="213"/>
      <c r="AG26" s="213"/>
      <c r="AH26" s="1029"/>
      <c r="AI26" s="1030"/>
      <c r="AJ26" s="173"/>
      <c r="AK26" s="133"/>
    </row>
    <row r="27" spans="1:37" ht="14.4">
      <c r="A27" s="183" t="str">
        <f t="shared" si="9"/>
        <v>KPN BelBasis CMISDN2VVE overstap</v>
      </c>
      <c r="B27" s="131" t="str">
        <f t="shared" si="10"/>
        <v>KPN BelBasis CMISDN2VVE overstap</v>
      </c>
      <c r="C27" s="133" t="s">
        <v>1134</v>
      </c>
      <c r="D27" s="133" t="s">
        <v>465</v>
      </c>
      <c r="E27" s="133"/>
      <c r="F27" s="133" t="s">
        <v>4</v>
      </c>
      <c r="G27" s="133" t="s">
        <v>459</v>
      </c>
      <c r="H27" s="133" t="str">
        <f t="shared" si="11"/>
        <v>ISDN2VVA</v>
      </c>
      <c r="I27" s="120" t="str">
        <f t="shared" si="12"/>
        <v>ISDN2VVE overstap</v>
      </c>
      <c r="J27" s="650" t="str">
        <f>IF(D27="","",INDEX(Mapping!$H:$H,MATCH($H27,Mapping!$B:$B,0)))</f>
        <v>ISDN2VVA</v>
      </c>
      <c r="K27" s="651" t="str">
        <f>IF(D27="","",INDEX(Mapping!$H:$H,MATCH($I27,Mapping!$B:$B,0)))</f>
        <v>ISDN2VVE overstap</v>
      </c>
      <c r="L27" s="130">
        <f>MATCH(C27&amp;D27&amp;E27,'Tarieven ZM'!$B:$B,0)</f>
        <v>7</v>
      </c>
      <c r="M27" s="215">
        <f>INDEX('Tarieven ZM'!$F:$F,'Rekenblad Aansluiting'!$L27)</f>
        <v>100</v>
      </c>
      <c r="N27" s="215">
        <f>INDEX('Tarieven ZM'!$G:$H,'Rekenblad Aansluiting'!$L27,MATCH($G27,'Tarieven ZM'!$G$4:$H$4))</f>
        <v>100</v>
      </c>
      <c r="O27" s="1032">
        <f>M27+N27/Parameters!$B$9</f>
        <v>102.77777777777777</v>
      </c>
      <c r="P27" s="1031">
        <f>IF('Rekenblad Aansluiting'!D27="",0,INDEX('inkoop aansluitingen obv ULL'!E:E,MATCH(K27,'inkoop aansluitingen obv ULL'!B:B,0)))</f>
        <v>9.2350886055555534</v>
      </c>
      <c r="Q27" s="142">
        <f>IF('Rekenblad Aansluiting'!D27="",0,INDEX('inkoop aansluitingen obv ULL'!F:F,MATCH(K27,'inkoop aansluitingen obv ULL'!B:B,0)))</f>
        <v>19.29</v>
      </c>
      <c r="R27" s="1032">
        <f>P27+Q27/'Parameters ULL'!$E$10</f>
        <v>9.7709219388888862</v>
      </c>
      <c r="S27" s="138">
        <f>IF(RIGHT(C27,2)="CM",O27*MAX(Parameters!$B$2:$B$4),O27*Parameters!$B$3)</f>
        <v>10.277777777777779</v>
      </c>
      <c r="T27" s="142">
        <f>IF(RIGHT(C27,2)="CM",0,IF(LEFT(C27,2)="TZ",(('Vergoedingen grondslag'!$F$20+'Vergoedingen grondslag'!$I$20+'Vergoedingen grondslag'!$L$20+'Vergoedingen grondslag'!$O$20)*(M27)+('Vergoedingen grondslag'!$O$20*'Rekenblad Aansluiting'!$N27+'Vergoedingen grondslag'!$R$20+'Vergoedingen grondslag'!$U$20)/Parameters!$B$9),(('Vergoedingen grondslag'!$F$11+'Vergoedingen grondslag'!$I$11+'Vergoedingen grondslag'!$L$11+'Vergoedingen grondslag'!$O$11)*(M27))+('Vergoedingen grondslag'!$O$11*'Rekenblad Aansluiting'!$N27+'Vergoedingen grondslag'!$R$11+'Vergoedingen grondslag'!$U$11+'Vergoedingen grondslag'!$X$11)/36))</f>
        <v>0</v>
      </c>
      <c r="U27" s="142">
        <f>M27*Parameters!$B$12</f>
        <v>0</v>
      </c>
      <c r="V27" s="136">
        <f t="shared" si="13"/>
        <v>10.277777777777779</v>
      </c>
      <c r="W27" s="142">
        <f t="shared" si="14"/>
        <v>20.048699716666665</v>
      </c>
      <c r="X27" s="205">
        <f t="shared" si="16"/>
        <v>82.72907806111111</v>
      </c>
      <c r="Y27" s="173">
        <f t="shared" si="17"/>
        <v>0.80493157032432439</v>
      </c>
      <c r="Z27" s="120" t="b">
        <f t="shared" si="15"/>
        <v>0</v>
      </c>
      <c r="AA27" s="331" t="s">
        <v>868</v>
      </c>
      <c r="AB27" s="4">
        <v>0</v>
      </c>
      <c r="AD27" s="142"/>
      <c r="AE27" s="149"/>
      <c r="AF27" s="213"/>
      <c r="AG27" s="213"/>
      <c r="AH27" s="1029"/>
      <c r="AI27" s="1030"/>
      <c r="AJ27" s="173"/>
      <c r="AK27" s="133"/>
    </row>
    <row r="28" spans="1:37" ht="14.4">
      <c r="A28" s="446" t="str">
        <f>C28&amp;D28&amp;E28&amp;G28</f>
        <v>KPN Zakelijk BelBasisPSTNVVE nieuwe aanleg</v>
      </c>
      <c r="B28" s="120" t="str">
        <f>C28&amp;D28&amp;G28</f>
        <v>KPN Zakelijk BelBasisPSTNVVE nieuwe aanleg</v>
      </c>
      <c r="C28" s="132" t="s">
        <v>471</v>
      </c>
      <c r="D28" s="132" t="s">
        <v>463</v>
      </c>
      <c r="E28" s="132"/>
      <c r="F28" s="132" t="s">
        <v>4</v>
      </c>
      <c r="G28" s="132" t="s">
        <v>458</v>
      </c>
      <c r="H28" s="132" t="str">
        <f>D28&amp;F28</f>
        <v>PSTNVVA</v>
      </c>
      <c r="I28" s="119" t="str">
        <f>D28&amp;G28</f>
        <v>PSTNVVE nieuwe aanleg</v>
      </c>
      <c r="J28" s="493" t="str">
        <f>IF(D28="","",INDEX(Mapping!$H:$H,MATCH($H28,Mapping!$B:$B,0)))</f>
        <v>PSTNVVA</v>
      </c>
      <c r="K28" s="494" t="str">
        <f>IF(D28="","",INDEX(Mapping!$H:$H,MATCH($I28,Mapping!$B:$B,0)))</f>
        <v>PSTNVVE nieuwe aanleg</v>
      </c>
      <c r="L28" s="648">
        <f>MATCH(C28&amp;D28&amp;E28,'Tarieven ZM'!$B:$B,0)</f>
        <v>18</v>
      </c>
      <c r="M28" s="141">
        <f>INDEX('Tarieven ZM'!$F:$F,'Rekenblad Aansluiting'!$L28)</f>
        <v>100</v>
      </c>
      <c r="N28" s="141">
        <f>INDEX('Tarieven ZM'!$G:$H,'Rekenblad Aansluiting'!$L28,MATCH($G28,'Tarieven ZM'!$G$4:$H$4))</f>
        <v>100</v>
      </c>
      <c r="O28" s="135">
        <f>M28+N28/Parameters!$B$9</f>
        <v>102.77777777777777</v>
      </c>
      <c r="P28" s="495">
        <f>IF('Rekenblad Aansluiting'!D28="",0,INDEX('inkoop aansluitingen obv ULL'!E:E,MATCH(K28,'inkoop aansluitingen obv ULL'!B:B,0)))</f>
        <v>9.2350886055555534</v>
      </c>
      <c r="Q28" s="141">
        <f>IF('Rekenblad Aansluiting'!D28="",0,INDEX('inkoop aansluitingen obv ULL'!F:F,MATCH(K28,'inkoop aansluitingen obv ULL'!B:B,0)))</f>
        <v>76.89</v>
      </c>
      <c r="R28" s="135">
        <f>P28+Q28/'Parameters ULL'!$E$10</f>
        <v>11.370921938888888</v>
      </c>
      <c r="S28" s="137">
        <f>IF(RIGHT(C28,2)="CM",O28*MAX(Parameters!$B$2:$B$4),O28*Parameters!$B$3)</f>
        <v>10.277777777777779</v>
      </c>
      <c r="T28" s="141">
        <f>IF(RIGHT(C28,2)="CM",0,IF(LEFT(C28,2)="TZ",(('Vergoedingen grondslag'!$F$20+'Vergoedingen grondslag'!$I$20+'Vergoedingen grondslag'!$L$20+'Vergoedingen grondslag'!$O$20)*(M28)+('Vergoedingen grondslag'!$O$20*'Rekenblad Aansluiting'!$N28+'Vergoedingen grondslag'!$R$20+'Vergoedingen grondslag'!$U$20)/Parameters!$B$9),(('Vergoedingen grondslag'!$F$11+'Vergoedingen grondslag'!$I$11+'Vergoedingen grondslag'!$L$11+'Vergoedingen grondslag'!$O$11)*(M28))+('Vergoedingen grondslag'!$O$11*'Rekenblad Aansluiting'!$N28+'Vergoedingen grondslag'!$R$11+'Vergoedingen grondslag'!$U$11+'Vergoedingen grondslag'!$X$11)/36))</f>
        <v>4.1111111111111107</v>
      </c>
      <c r="U28" s="141">
        <f>M28*Parameters!$B$12</f>
        <v>0</v>
      </c>
      <c r="V28" s="135">
        <f>SUM(S28:U28)</f>
        <v>14.388888888888889</v>
      </c>
      <c r="W28" s="141">
        <f>R28+V28</f>
        <v>25.759810827777777</v>
      </c>
      <c r="X28" s="137">
        <f>O28-W28</f>
        <v>77.017966949999987</v>
      </c>
      <c r="Y28" s="144">
        <f t="shared" ref="Y28:Y65" si="18">X28/O28</f>
        <v>0.74936400275675663</v>
      </c>
      <c r="Z28" s="119" t="b">
        <f>Y28&lt;0</f>
        <v>0</v>
      </c>
      <c r="AA28" s="331" t="s">
        <v>868</v>
      </c>
      <c r="AB28" s="4">
        <v>0</v>
      </c>
      <c r="AD28" s="445">
        <f>IF(RIGHT(C28,2)="CM",M28*MAX(Parameters!$B$2:$B$4),M28*Parameters!$B$3)</f>
        <v>10</v>
      </c>
      <c r="AE28" s="149">
        <f>IF(RIGHT(C28,2)="CM",0,IF(LEFT(C28,2)="TZ",(('Vergoedingen grondslag'!$F$20+'Vergoedingen grondslag'!$I$20+'Vergoedingen grondslag'!$L$20+'Vergoedingen grondslag'!$O$20)*(M28)+('Vergoedingen grondslag'!$O$20*'Rekenblad Aansluiting'!$N28*0+'Vergoedingen grondslag'!$R$20+'Vergoedingen grondslag'!$U$20)/Parameters!$B$9),(('Vergoedingen grondslag'!$F$11+'Vergoedingen grondslag'!$I$11+'Vergoedingen grondslag'!$L$11+'Vergoedingen grondslag'!$O$11)*(M28))+('Vergoedingen grondslag'!$O$11*'Rekenblad Aansluiting'!$N28*0+'Vergoedingen grondslag'!$R$11+'Vergoedingen grondslag'!$U$11+'Vergoedingen grondslag'!$X$11)/36))</f>
        <v>4.083333333333333</v>
      </c>
      <c r="AF28" s="652">
        <f>M28*Parameters!$B$12</f>
        <v>0</v>
      </c>
      <c r="AG28" s="774">
        <f t="shared" ref="AG28:AG62" si="19">SUM(AD28:AF28)</f>
        <v>14.083333333333332</v>
      </c>
      <c r="AH28" s="775">
        <f t="shared" ref="AH28:AH86" si="20">AG28+P28</f>
        <v>23.318421938888886</v>
      </c>
      <c r="AI28" s="447">
        <f t="shared" ref="AI28:AI62" si="21">M28-AH28</f>
        <v>76.681578061111111</v>
      </c>
      <c r="AJ28" s="173">
        <f t="shared" ref="AJ28:AJ62" si="22">AI28/M28</f>
        <v>0.76681578061111111</v>
      </c>
      <c r="AK28" s="120" t="b">
        <f t="shared" ref="AK28:AK62" si="23">AJ28&lt;0</f>
        <v>0</v>
      </c>
    </row>
    <row r="29" spans="1:37" ht="14.4">
      <c r="A29" s="182" t="str">
        <f t="shared" ref="A29:A65" si="24">C29&amp;D29&amp;E29&amp;G29</f>
        <v>KPN Zakelijk BelBasisISDN1VVE nieuwe aanleg</v>
      </c>
      <c r="B29" s="120" t="str">
        <f t="shared" ref="B29:B65" si="25">C29&amp;D29&amp;G29</f>
        <v>KPN Zakelijk BelBasisISDN1VVE nieuwe aanleg</v>
      </c>
      <c r="C29" s="133" t="s">
        <v>471</v>
      </c>
      <c r="D29" s="133" t="s">
        <v>464</v>
      </c>
      <c r="E29" s="133"/>
      <c r="F29" s="133" t="s">
        <v>4</v>
      </c>
      <c r="G29" s="133" t="s">
        <v>458</v>
      </c>
      <c r="H29" s="133" t="str">
        <f t="shared" ref="H29:H43" si="26">D29&amp;F29</f>
        <v>ISDN1VVA</v>
      </c>
      <c r="I29" s="120" t="str">
        <f t="shared" ref="I29:I43" si="27">D29&amp;G29</f>
        <v>ISDN1VVE nieuwe aanleg</v>
      </c>
      <c r="J29" s="493" t="str">
        <f>IF(D29="","",INDEX(Mapping!$H:$H,MATCH($H29,Mapping!$B:$B,0)))</f>
        <v>ISDN1VVA</v>
      </c>
      <c r="K29" s="494" t="str">
        <f>IF(D29="","",INDEX(Mapping!$H:$H,MATCH($I29,Mapping!$B:$B,0)))</f>
        <v>ISDN1VVE nieuwe aanleg</v>
      </c>
      <c r="L29" s="649">
        <f>MATCH(C29&amp;D29&amp;E29,'Tarieven ZM'!$B:$B,0)</f>
        <v>19</v>
      </c>
      <c r="M29" s="133">
        <f>INDEX('Tarieven ZM'!$F:$F,'Rekenblad Aansluiting'!$L29)</f>
        <v>100</v>
      </c>
      <c r="N29" s="142">
        <f>INDEX('Tarieven ZM'!$G:$H,'Rekenblad Aansluiting'!$L29,MATCH($G29,'Tarieven ZM'!$G$4:$H$4))</f>
        <v>100</v>
      </c>
      <c r="O29" s="136">
        <f>M29+N29/Parameters!$B$9</f>
        <v>102.77777777777777</v>
      </c>
      <c r="P29" s="495">
        <f>IF('Rekenblad Aansluiting'!D29="",0,INDEX('inkoop aansluitingen obv ULL'!E:E,MATCH(K29,'inkoop aansluitingen obv ULL'!B:B,0)))</f>
        <v>9.2350886055555534</v>
      </c>
      <c r="Q29" s="142">
        <f>IF('Rekenblad Aansluiting'!D29="",0,INDEX('inkoop aansluitingen obv ULL'!F:F,MATCH(K29,'inkoop aansluitingen obv ULL'!B:B,0)))</f>
        <v>76.89</v>
      </c>
      <c r="R29" s="136">
        <f>P29+Q29/'Parameters ULL'!$E$10</f>
        <v>11.370921938888888</v>
      </c>
      <c r="S29" s="138">
        <f>IF(RIGHT(C29,2)="CM",O29*MAX(Parameters!$B$2:$B$4),O29*Parameters!$B$3)</f>
        <v>10.277777777777779</v>
      </c>
      <c r="T29" s="142">
        <f>IF(RIGHT(C29,2)="CM",0,IF(LEFT(C29,2)="TZ",(('Vergoedingen grondslag'!$F$20+'Vergoedingen grondslag'!$I$20+'Vergoedingen grondslag'!$L$20+'Vergoedingen grondslag'!$O$20)*(M29)+('Vergoedingen grondslag'!$O$20*'Rekenblad Aansluiting'!$N29+'Vergoedingen grondslag'!$R$20+'Vergoedingen grondslag'!$U$20)/Parameters!$B$9),(('Vergoedingen grondslag'!$F$11+'Vergoedingen grondslag'!$I$11+'Vergoedingen grondslag'!$L$11+'Vergoedingen grondslag'!$O$11)*(M29))+('Vergoedingen grondslag'!$O$11*'Rekenblad Aansluiting'!$N29+'Vergoedingen grondslag'!$R$11+'Vergoedingen grondslag'!$U$11+'Vergoedingen grondslag'!$X$11)/36))</f>
        <v>4.1111111111111107</v>
      </c>
      <c r="U29" s="142">
        <f>M29*Parameters!$B$12</f>
        <v>0</v>
      </c>
      <c r="V29" s="136">
        <f t="shared" ref="V29:V65" si="28">SUM(S29:U29)</f>
        <v>14.388888888888889</v>
      </c>
      <c r="W29" s="142">
        <f t="shared" ref="W29:W65" si="29">R29+V29</f>
        <v>25.759810827777777</v>
      </c>
      <c r="X29" s="138">
        <f t="shared" ref="X29:X65" si="30">O29-W29</f>
        <v>77.017966949999987</v>
      </c>
      <c r="Y29" s="145">
        <f t="shared" si="18"/>
        <v>0.74936400275675663</v>
      </c>
      <c r="Z29" s="120" t="b">
        <f t="shared" ref="Z29:Z59" si="31">Y29&lt;0</f>
        <v>0</v>
      </c>
      <c r="AA29" s="331" t="s">
        <v>868</v>
      </c>
      <c r="AB29" s="4">
        <v>0</v>
      </c>
      <c r="AD29" s="445">
        <f>IF(RIGHT(C29,2)="CM",M29*MAX(Parameters!$B$2:$B$4),M29*Parameters!$B$3)</f>
        <v>10</v>
      </c>
      <c r="AE29" s="149">
        <f>IF(RIGHT(C29,2)="CM",0,IF(LEFT(C29,2)="TZ",(('Vergoedingen grondslag'!$F$20+'Vergoedingen grondslag'!$I$20+'Vergoedingen grondslag'!$L$20+'Vergoedingen grondslag'!$O$20)*(M29)+('Vergoedingen grondslag'!$O$20*'Rekenblad Aansluiting'!$N29*0+'Vergoedingen grondslag'!$R$20+'Vergoedingen grondslag'!$U$20)/Parameters!$B$9),(('Vergoedingen grondslag'!$F$11+'Vergoedingen grondslag'!$I$11+'Vergoedingen grondslag'!$L$11+'Vergoedingen grondslag'!$O$11)*(M29))+('Vergoedingen grondslag'!$O$11*'Rekenblad Aansluiting'!$N29*0+'Vergoedingen grondslag'!$R$11+'Vergoedingen grondslag'!$U$11+'Vergoedingen grondslag'!$X$11)/36))</f>
        <v>4.083333333333333</v>
      </c>
      <c r="AF29" s="652">
        <f>M29*Parameters!$B$12</f>
        <v>0</v>
      </c>
      <c r="AG29" s="774">
        <f t="shared" si="19"/>
        <v>14.083333333333332</v>
      </c>
      <c r="AH29" s="775">
        <f t="shared" si="20"/>
        <v>23.318421938888886</v>
      </c>
      <c r="AI29" s="447">
        <f t="shared" si="21"/>
        <v>76.681578061111111</v>
      </c>
      <c r="AJ29" s="173">
        <f t="shared" si="22"/>
        <v>0.76681578061111111</v>
      </c>
      <c r="AK29" s="120" t="b">
        <f t="shared" si="23"/>
        <v>0</v>
      </c>
    </row>
    <row r="30" spans="1:37" ht="14.4">
      <c r="A30" s="182" t="str">
        <f t="shared" si="24"/>
        <v>KPN Zakelijk BelBasisISDN2VVE nieuwe aanleg</v>
      </c>
      <c r="B30" s="120" t="str">
        <f t="shared" si="25"/>
        <v>KPN Zakelijk BelBasisISDN2VVE nieuwe aanleg</v>
      </c>
      <c r="C30" s="133" t="s">
        <v>471</v>
      </c>
      <c r="D30" s="133" t="s">
        <v>465</v>
      </c>
      <c r="E30" s="133"/>
      <c r="F30" s="133" t="s">
        <v>4</v>
      </c>
      <c r="G30" s="133" t="s">
        <v>458</v>
      </c>
      <c r="H30" s="133" t="str">
        <f t="shared" si="26"/>
        <v>ISDN2VVA</v>
      </c>
      <c r="I30" s="120" t="str">
        <f t="shared" si="27"/>
        <v>ISDN2VVE nieuwe aanleg</v>
      </c>
      <c r="J30" s="493" t="str">
        <f>IF(D30="","",INDEX(Mapping!$H:$H,MATCH($H30,Mapping!$B:$B,0)))</f>
        <v>ISDN2VVA</v>
      </c>
      <c r="K30" s="494" t="str">
        <f>IF(D30="","",INDEX(Mapping!$H:$H,MATCH($I30,Mapping!$B:$B,0)))</f>
        <v>ISDN2VVE nieuwe aanleg</v>
      </c>
      <c r="L30" s="649">
        <f>MATCH(C30&amp;D30&amp;E30,'Tarieven ZM'!$B:$B,0)</f>
        <v>20</v>
      </c>
      <c r="M30" s="133">
        <f>INDEX('Tarieven ZM'!$F:$F,'Rekenblad Aansluiting'!$L30)</f>
        <v>100</v>
      </c>
      <c r="N30" s="133">
        <f>INDEX('Tarieven ZM'!$G:$H,'Rekenblad Aansluiting'!$L30,MATCH($G30,'Tarieven ZM'!$G$4:$H$4))</f>
        <v>100</v>
      </c>
      <c r="O30" s="136">
        <f>M30+N30/Parameters!$B$9</f>
        <v>102.77777777777777</v>
      </c>
      <c r="P30" s="495">
        <f>IF('Rekenblad Aansluiting'!D30="",0,INDEX('inkoop aansluitingen obv ULL'!E:E,MATCH(K30,'inkoop aansluitingen obv ULL'!B:B,0)))</f>
        <v>9.2350886055555534</v>
      </c>
      <c r="Q30" s="142">
        <f>IF('Rekenblad Aansluiting'!D30="",0,INDEX('inkoop aansluitingen obv ULL'!F:F,MATCH(K30,'inkoop aansluitingen obv ULL'!B:B,0)))</f>
        <v>76.89</v>
      </c>
      <c r="R30" s="136">
        <f>P30+Q30/'Parameters ULL'!$E$10</f>
        <v>11.370921938888888</v>
      </c>
      <c r="S30" s="138">
        <f>IF(RIGHT(C30,2)="CM",O30*MAX(Parameters!$B$2:$B$4),O30*Parameters!$B$3)</f>
        <v>10.277777777777779</v>
      </c>
      <c r="T30" s="142">
        <f>IF(RIGHT(C30,2)="CM",0,IF(LEFT(C30,2)="TZ",(('Vergoedingen grondslag'!$F$20+'Vergoedingen grondslag'!$I$20+'Vergoedingen grondslag'!$L$20+'Vergoedingen grondslag'!$O$20)*(M30)+('Vergoedingen grondslag'!$O$20*'Rekenblad Aansluiting'!$N30+'Vergoedingen grondslag'!$R$20+'Vergoedingen grondslag'!$U$20)/Parameters!$B$9),(('Vergoedingen grondslag'!$F$11+'Vergoedingen grondslag'!$I$11+'Vergoedingen grondslag'!$L$11+'Vergoedingen grondslag'!$O$11)*(M30))+('Vergoedingen grondslag'!$O$11*'Rekenblad Aansluiting'!$N30+'Vergoedingen grondslag'!$R$11+'Vergoedingen grondslag'!$U$11+'Vergoedingen grondslag'!$X$11)/36))</f>
        <v>4.1111111111111107</v>
      </c>
      <c r="U30" s="142">
        <f>M30*Parameters!$B$12</f>
        <v>0</v>
      </c>
      <c r="V30" s="136">
        <f t="shared" si="28"/>
        <v>14.388888888888889</v>
      </c>
      <c r="W30" s="142">
        <f t="shared" si="29"/>
        <v>25.759810827777777</v>
      </c>
      <c r="X30" s="138">
        <f t="shared" si="30"/>
        <v>77.017966949999987</v>
      </c>
      <c r="Y30" s="145">
        <f t="shared" si="18"/>
        <v>0.74936400275675663</v>
      </c>
      <c r="Z30" s="120" t="b">
        <f t="shared" si="31"/>
        <v>0</v>
      </c>
      <c r="AA30" s="331" t="s">
        <v>868</v>
      </c>
      <c r="AB30" s="4">
        <v>0</v>
      </c>
      <c r="AD30" s="445">
        <f>IF(RIGHT(C30,2)="CM",M30*MAX(Parameters!$B$2:$B$4),M30*Parameters!$B$3)</f>
        <v>10</v>
      </c>
      <c r="AE30" s="149">
        <f>IF(RIGHT(C30,2)="CM",0,IF(LEFT(C30,2)="TZ",(('Vergoedingen grondslag'!$F$20+'Vergoedingen grondslag'!$I$20+'Vergoedingen grondslag'!$L$20+'Vergoedingen grondslag'!$O$20)*(M30)+('Vergoedingen grondslag'!$O$20*'Rekenblad Aansluiting'!$N30*0+'Vergoedingen grondslag'!$R$20+'Vergoedingen grondslag'!$U$20)/Parameters!$B$9),(('Vergoedingen grondslag'!$F$11+'Vergoedingen grondslag'!$I$11+'Vergoedingen grondslag'!$L$11+'Vergoedingen grondslag'!$O$11)*(M30))+('Vergoedingen grondslag'!$O$11*'Rekenblad Aansluiting'!$N30*0+'Vergoedingen grondslag'!$R$11+'Vergoedingen grondslag'!$U$11+'Vergoedingen grondslag'!$X$11)/36))</f>
        <v>4.083333333333333</v>
      </c>
      <c r="AF30" s="652">
        <f>M30*Parameters!$B$12</f>
        <v>0</v>
      </c>
      <c r="AG30" s="774">
        <f t="shared" si="19"/>
        <v>14.083333333333332</v>
      </c>
      <c r="AH30" s="775">
        <f t="shared" si="20"/>
        <v>23.318421938888886</v>
      </c>
      <c r="AI30" s="447">
        <f t="shared" si="21"/>
        <v>76.681578061111111</v>
      </c>
      <c r="AJ30" s="173">
        <f t="shared" si="22"/>
        <v>0.76681578061111111</v>
      </c>
      <c r="AK30" s="120" t="b">
        <f t="shared" si="23"/>
        <v>0</v>
      </c>
    </row>
    <row r="31" spans="1:37" ht="14.4">
      <c r="A31" s="182" t="str">
        <f t="shared" si="24"/>
        <v>KPN Zakelijk BelBasisISDN15VVE nieuwe aanleg</v>
      </c>
      <c r="B31" s="120" t="str">
        <f t="shared" si="25"/>
        <v>KPN Zakelijk BelBasisISDN15VVE nieuwe aanleg</v>
      </c>
      <c r="C31" s="133" t="s">
        <v>471</v>
      </c>
      <c r="D31" s="133" t="s">
        <v>466</v>
      </c>
      <c r="E31" s="133"/>
      <c r="F31" s="133" t="s">
        <v>4</v>
      </c>
      <c r="G31" s="133" t="s">
        <v>458</v>
      </c>
      <c r="H31" s="133" t="str">
        <f t="shared" si="26"/>
        <v>ISDN15VVA</v>
      </c>
      <c r="I31" s="120" t="str">
        <f t="shared" si="27"/>
        <v>ISDN15VVE nieuwe aanleg</v>
      </c>
      <c r="J31" s="493" t="str">
        <f>IF(D31="","",INDEX(Mapping!$H:$H,MATCH($H31,Mapping!$B:$B,0)))</f>
        <v>ISDN15VVA</v>
      </c>
      <c r="K31" s="494" t="str">
        <f>IF(D31="","",INDEX(Mapping!$H:$H,MATCH($I31,Mapping!$B:$B,0)))</f>
        <v>ISDN15VVE nieuwe aanleg</v>
      </c>
      <c r="L31" s="649">
        <f>MATCH(C31&amp;D31&amp;E31,'Tarieven ZM'!$B:$B,0)</f>
        <v>21</v>
      </c>
      <c r="M31" s="133">
        <f>INDEX('Tarieven ZM'!$F:$F,'Rekenblad Aansluiting'!$L31)</f>
        <v>100</v>
      </c>
      <c r="N31" s="133">
        <f>INDEX('Tarieven ZM'!$G:$H,'Rekenblad Aansluiting'!$L31,MATCH($G31,'Tarieven ZM'!$G$4:$H$4))</f>
        <v>100</v>
      </c>
      <c r="O31" s="136">
        <f>M31+N31/Parameters!$B$9</f>
        <v>102.77777777777777</v>
      </c>
      <c r="P31" s="495">
        <f>IF('Rekenblad Aansluiting'!D31="",0,INDEX('inkoop aansluitingen obv ULL'!E:E,MATCH(K31,'inkoop aansluitingen obv ULL'!B:B,0)))</f>
        <v>18.738178527777777</v>
      </c>
      <c r="Q31" s="142">
        <f>IF('Rekenblad Aansluiting'!D31="",0,INDEX('inkoop aansluitingen obv ULL'!F:F,MATCH(K31,'inkoop aansluitingen obv ULL'!B:B,0)))</f>
        <v>153.78</v>
      </c>
      <c r="R31" s="136">
        <f>P31+Q31/'Parameters ULL'!$E$10</f>
        <v>23.009845194444445</v>
      </c>
      <c r="S31" s="138">
        <f>IF(RIGHT(C31,2)="CM",O31*MAX(Parameters!$B$2:$B$4),O31*Parameters!$B$3)</f>
        <v>10.277777777777779</v>
      </c>
      <c r="T31" s="142">
        <f>IF(RIGHT(C31,2)="CM",0,IF(LEFT(C31,2)="TZ",(('Vergoedingen grondslag'!$F$20+'Vergoedingen grondslag'!$I$20+'Vergoedingen grondslag'!$L$20+'Vergoedingen grondslag'!$O$20)*(M31)+('Vergoedingen grondslag'!$O$20*'Rekenblad Aansluiting'!$N31+'Vergoedingen grondslag'!$R$20+'Vergoedingen grondslag'!$U$20)/Parameters!$B$9),(('Vergoedingen grondslag'!$F$11+'Vergoedingen grondslag'!$I$11+'Vergoedingen grondslag'!$L$11+'Vergoedingen grondslag'!$O$11)*(M31))+('Vergoedingen grondslag'!$O$11*'Rekenblad Aansluiting'!$N31+'Vergoedingen grondslag'!$R$11+'Vergoedingen grondslag'!$U$11+'Vergoedingen grondslag'!$X$11)/36))</f>
        <v>4.1111111111111107</v>
      </c>
      <c r="U31" s="142">
        <f>M31*Parameters!$B$12</f>
        <v>0</v>
      </c>
      <c r="V31" s="136">
        <f t="shared" si="28"/>
        <v>14.388888888888889</v>
      </c>
      <c r="W31" s="142">
        <f t="shared" si="29"/>
        <v>37.398734083333338</v>
      </c>
      <c r="X31" s="138">
        <f t="shared" si="30"/>
        <v>65.379043694444434</v>
      </c>
      <c r="Y31" s="145">
        <f t="shared" si="18"/>
        <v>0.63612042513513511</v>
      </c>
      <c r="Z31" s="120" t="b">
        <f t="shared" si="31"/>
        <v>0</v>
      </c>
      <c r="AA31" s="331" t="s">
        <v>868</v>
      </c>
      <c r="AB31" s="4">
        <v>0</v>
      </c>
      <c r="AD31" s="445">
        <f>IF(RIGHT(C31,2)="CM",M31*MAX(Parameters!$B$2:$B$4),M31*Parameters!$B$3)</f>
        <v>10</v>
      </c>
      <c r="AE31" s="149">
        <f>IF(RIGHT(C31,2)="CM",0,IF(LEFT(C31,2)="TZ",(('Vergoedingen grondslag'!$F$20+'Vergoedingen grondslag'!$I$20+'Vergoedingen grondslag'!$L$20+'Vergoedingen grondslag'!$O$20)*(M31)+('Vergoedingen grondslag'!$O$20*'Rekenblad Aansluiting'!$N31*0+'Vergoedingen grondslag'!$R$20+'Vergoedingen grondslag'!$U$20)/Parameters!$B$9),(('Vergoedingen grondslag'!$F$11+'Vergoedingen grondslag'!$I$11+'Vergoedingen grondslag'!$L$11+'Vergoedingen grondslag'!$O$11)*(M31))+('Vergoedingen grondslag'!$O$11*'Rekenblad Aansluiting'!$N31*0+'Vergoedingen grondslag'!$R$11+'Vergoedingen grondslag'!$U$11+'Vergoedingen grondslag'!$X$11)/36))</f>
        <v>4.083333333333333</v>
      </c>
      <c r="AF31" s="652">
        <f>M31*Parameters!$B$12</f>
        <v>0</v>
      </c>
      <c r="AG31" s="774">
        <f t="shared" si="19"/>
        <v>14.083333333333332</v>
      </c>
      <c r="AH31" s="775">
        <f t="shared" si="20"/>
        <v>32.821511861111105</v>
      </c>
      <c r="AI31" s="447">
        <f t="shared" si="21"/>
        <v>67.178488138888895</v>
      </c>
      <c r="AJ31" s="173">
        <f t="shared" si="22"/>
        <v>0.67178488138888892</v>
      </c>
      <c r="AK31" s="120" t="b">
        <f t="shared" si="23"/>
        <v>0</v>
      </c>
    </row>
    <row r="32" spans="1:37" ht="14.4">
      <c r="A32" s="182" t="str">
        <f t="shared" si="24"/>
        <v>KPN Zakelijk BelBasisISDN20VVE nieuwe aanleg</v>
      </c>
      <c r="B32" s="120" t="str">
        <f t="shared" si="25"/>
        <v>KPN Zakelijk BelBasisISDN20VVE nieuwe aanleg</v>
      </c>
      <c r="C32" s="133" t="s">
        <v>471</v>
      </c>
      <c r="D32" s="133" t="s">
        <v>468</v>
      </c>
      <c r="E32" s="133"/>
      <c r="F32" s="133" t="s">
        <v>4</v>
      </c>
      <c r="G32" s="133" t="s">
        <v>458</v>
      </c>
      <c r="H32" s="133" t="str">
        <f t="shared" si="26"/>
        <v>ISDN20VVA</v>
      </c>
      <c r="I32" s="120" t="str">
        <f t="shared" si="27"/>
        <v>ISDN20VVE nieuwe aanleg</v>
      </c>
      <c r="J32" s="493" t="str">
        <f>IF(D32="","",INDEX(Mapping!$H:$H,MATCH($H32,Mapping!$B:$B,0)))</f>
        <v>ISDN20VVA</v>
      </c>
      <c r="K32" s="494" t="str">
        <f>IF(D32="","",INDEX(Mapping!$H:$H,MATCH($I32,Mapping!$B:$B,0)))</f>
        <v>ISDN20VVE nieuwe aanleg</v>
      </c>
      <c r="L32" s="649">
        <f>MATCH(C32&amp;D32&amp;E32,'Tarieven ZM'!$B:$B,0)</f>
        <v>22</v>
      </c>
      <c r="M32" s="133">
        <f>INDEX('Tarieven ZM'!$F:$F,'Rekenblad Aansluiting'!$L32)</f>
        <v>100</v>
      </c>
      <c r="N32" s="133">
        <f>INDEX('Tarieven ZM'!$G:$H,'Rekenblad Aansluiting'!$L32,MATCH($G32,'Tarieven ZM'!$G$4:$H$4))</f>
        <v>100</v>
      </c>
      <c r="O32" s="136">
        <f>M32+N32/Parameters!$B$9</f>
        <v>102.77777777777777</v>
      </c>
      <c r="P32" s="495">
        <f>IF('Rekenblad Aansluiting'!D32="",0,INDEX('inkoop aansluitingen obv ULL'!E:E,MATCH(K32,'inkoop aansluitingen obv ULL'!B:B,0)))</f>
        <v>18.738178527777777</v>
      </c>
      <c r="Q32" s="142">
        <f>IF('Rekenblad Aansluiting'!D32="",0,INDEX('inkoop aansluitingen obv ULL'!F:F,MATCH(K32,'inkoop aansluitingen obv ULL'!B:B,0)))</f>
        <v>153.78</v>
      </c>
      <c r="R32" s="136">
        <f>P32+Q32/'Parameters ULL'!$E$10</f>
        <v>23.009845194444445</v>
      </c>
      <c r="S32" s="138">
        <f>IF(RIGHT(C32,2)="CM",O32*MAX(Parameters!$B$2:$B$4),O32*Parameters!$B$3)</f>
        <v>10.277777777777779</v>
      </c>
      <c r="T32" s="142">
        <f>IF(RIGHT(C32,2)="CM",0,IF(LEFT(C32,2)="TZ",(('Vergoedingen grondslag'!$F$20+'Vergoedingen grondslag'!$I$20+'Vergoedingen grondslag'!$L$20+'Vergoedingen grondslag'!$O$20)*(M32)+('Vergoedingen grondslag'!$O$20*'Rekenblad Aansluiting'!$N32+'Vergoedingen grondslag'!$R$20+'Vergoedingen grondslag'!$U$20)/Parameters!$B$9),(('Vergoedingen grondslag'!$F$11+'Vergoedingen grondslag'!$I$11+'Vergoedingen grondslag'!$L$11+'Vergoedingen grondslag'!$O$11)*(M32))+('Vergoedingen grondslag'!$O$11*'Rekenblad Aansluiting'!$N32+'Vergoedingen grondslag'!$R$11+'Vergoedingen grondslag'!$U$11+'Vergoedingen grondslag'!$X$11)/36))</f>
        <v>4.1111111111111107</v>
      </c>
      <c r="U32" s="142">
        <f>M32*Parameters!$B$12</f>
        <v>0</v>
      </c>
      <c r="V32" s="136">
        <f t="shared" si="28"/>
        <v>14.388888888888889</v>
      </c>
      <c r="W32" s="142">
        <f t="shared" si="29"/>
        <v>37.398734083333338</v>
      </c>
      <c r="X32" s="138">
        <f t="shared" si="30"/>
        <v>65.379043694444434</v>
      </c>
      <c r="Y32" s="145">
        <f t="shared" si="18"/>
        <v>0.63612042513513511</v>
      </c>
      <c r="Z32" s="120" t="b">
        <f t="shared" si="31"/>
        <v>0</v>
      </c>
      <c r="AA32" s="331" t="s">
        <v>868</v>
      </c>
      <c r="AB32" s="4">
        <v>0</v>
      </c>
      <c r="AD32" s="445">
        <f>IF(RIGHT(C32,2)="CM",M32*MAX(Parameters!$B$2:$B$4),M32*Parameters!$B$3)</f>
        <v>10</v>
      </c>
      <c r="AE32" s="149">
        <f>IF(RIGHT(C32,2)="CM",0,IF(LEFT(C32,2)="TZ",(('Vergoedingen grondslag'!$F$20+'Vergoedingen grondslag'!$I$20+'Vergoedingen grondslag'!$L$20+'Vergoedingen grondslag'!$O$20)*(M32)+('Vergoedingen grondslag'!$O$20*'Rekenblad Aansluiting'!$N32*0+'Vergoedingen grondslag'!$R$20+'Vergoedingen grondslag'!$U$20)/Parameters!$B$9),(('Vergoedingen grondslag'!$F$11+'Vergoedingen grondslag'!$I$11+'Vergoedingen grondslag'!$L$11+'Vergoedingen grondslag'!$O$11)*(M32))+('Vergoedingen grondslag'!$O$11*'Rekenblad Aansluiting'!$N32*0+'Vergoedingen grondslag'!$R$11+'Vergoedingen grondslag'!$U$11+'Vergoedingen grondslag'!$X$11)/36))</f>
        <v>4.083333333333333</v>
      </c>
      <c r="AF32" s="652">
        <f>M32*Parameters!$B$12</f>
        <v>0</v>
      </c>
      <c r="AG32" s="774">
        <f t="shared" si="19"/>
        <v>14.083333333333332</v>
      </c>
      <c r="AH32" s="775">
        <f t="shared" si="20"/>
        <v>32.821511861111105</v>
      </c>
      <c r="AI32" s="447">
        <f t="shared" si="21"/>
        <v>67.178488138888895</v>
      </c>
      <c r="AJ32" s="173">
        <f t="shared" si="22"/>
        <v>0.67178488138888892</v>
      </c>
      <c r="AK32" s="120" t="b">
        <f t="shared" si="23"/>
        <v>0</v>
      </c>
    </row>
    <row r="33" spans="1:37" ht="14.4">
      <c r="A33" s="182" t="str">
        <f t="shared" si="24"/>
        <v>KPN Zakelijk BelBasisISDN30 eerste aansluitingVVE nieuwe aanleg</v>
      </c>
      <c r="B33" s="120" t="str">
        <f>C33&amp;D33&amp;G33</f>
        <v>KPN Zakelijk BelBasisISDN30 eerste aansluitingVVE nieuwe aanleg</v>
      </c>
      <c r="C33" s="133" t="s">
        <v>471</v>
      </c>
      <c r="D33" s="133" t="s">
        <v>869</v>
      </c>
      <c r="E33" s="133"/>
      <c r="F33" s="133" t="s">
        <v>4</v>
      </c>
      <c r="G33" s="133" t="s">
        <v>458</v>
      </c>
      <c r="H33" s="133" t="str">
        <f t="shared" si="26"/>
        <v>ISDN30 eerste aansluitingVVA</v>
      </c>
      <c r="I33" s="120" t="str">
        <f t="shared" si="27"/>
        <v>ISDN30 eerste aansluitingVVE nieuwe aanleg</v>
      </c>
      <c r="J33" s="493" t="str">
        <f>IF(D33="","",INDEX(Mapping!$H:$H,MATCH($H33,Mapping!$B:$B,0)))</f>
        <v>ISDN30 eerste aansluitingVVA</v>
      </c>
      <c r="K33" s="494" t="str">
        <f>IF(D33="","",INDEX(Mapping!$H:$H,MATCH($I33,Mapping!$B:$B,0)))</f>
        <v>ISDN30 eerste aansluitingVVE nieuwe aanleg</v>
      </c>
      <c r="L33" s="649">
        <f>MATCH(C33&amp;D33&amp;E33,'Tarieven ZM'!$B:$B,0)</f>
        <v>23</v>
      </c>
      <c r="M33" s="133">
        <f>INDEX('Tarieven ZM'!$F:$F,'Rekenblad Aansluiting'!$L33)</f>
        <v>100</v>
      </c>
      <c r="N33" s="133">
        <f>INDEX('Tarieven ZM'!$G:$H,'Rekenblad Aansluiting'!$L33,MATCH($G33,'Tarieven ZM'!$G$4:$H$4))</f>
        <v>100</v>
      </c>
      <c r="O33" s="136">
        <f>M33+N33/Parameters!$B$9</f>
        <v>102.77777777777777</v>
      </c>
      <c r="P33" s="495">
        <f>IF('Rekenblad Aansluiting'!D33="",0,INDEX('inkoop aansluitingen obv ULL'!E:E,MATCH(K33,'inkoop aansluitingen obv ULL'!B:B,0)))</f>
        <v>18.738178527777777</v>
      </c>
      <c r="Q33" s="142">
        <f>IF('Rekenblad Aansluiting'!D33="",0,INDEX('inkoop aansluitingen obv ULL'!F:F,MATCH(K33,'inkoop aansluitingen obv ULL'!B:B,0)))</f>
        <v>153.78</v>
      </c>
      <c r="R33" s="136">
        <f>P33+Q33/'Parameters ULL'!$E$10</f>
        <v>23.009845194444445</v>
      </c>
      <c r="S33" s="138">
        <f>IF(RIGHT(C33,2)="CM",O33*MAX(Parameters!$B$2:$B$4),O33*Parameters!$B$3)</f>
        <v>10.277777777777779</v>
      </c>
      <c r="T33" s="142">
        <f>IF(RIGHT(C33,2)="CM",0,IF(LEFT(C33,2)="TZ",(('Vergoedingen grondslag'!$F$20+'Vergoedingen grondslag'!$I$20+'Vergoedingen grondslag'!$L$20+'Vergoedingen grondslag'!$O$20)*(M33)+('Vergoedingen grondslag'!$O$20*'Rekenblad Aansluiting'!$N33+'Vergoedingen grondslag'!$R$20+'Vergoedingen grondslag'!$U$20)/Parameters!$B$9),(('Vergoedingen grondslag'!$F$11+'Vergoedingen grondslag'!$I$11+'Vergoedingen grondslag'!$L$11+'Vergoedingen grondslag'!$O$11)*(M33))+('Vergoedingen grondslag'!$O$11*'Rekenblad Aansluiting'!$N33+'Vergoedingen grondslag'!$R$11+'Vergoedingen grondslag'!$U$11+'Vergoedingen grondslag'!$X$11)/36))</f>
        <v>4.1111111111111107</v>
      </c>
      <c r="U33" s="142">
        <f>M33*Parameters!$B$12</f>
        <v>0</v>
      </c>
      <c r="V33" s="136">
        <f t="shared" si="28"/>
        <v>14.388888888888889</v>
      </c>
      <c r="W33" s="142">
        <f t="shared" si="29"/>
        <v>37.398734083333338</v>
      </c>
      <c r="X33" s="138">
        <f t="shared" si="30"/>
        <v>65.379043694444434</v>
      </c>
      <c r="Y33" s="145">
        <f t="shared" si="18"/>
        <v>0.63612042513513511</v>
      </c>
      <c r="Z33" s="120" t="b">
        <f t="shared" si="31"/>
        <v>0</v>
      </c>
      <c r="AA33" s="331" t="s">
        <v>868</v>
      </c>
      <c r="AB33" s="4">
        <v>0</v>
      </c>
      <c r="AD33" s="445">
        <f>IF(RIGHT(C33,2)="CM",M33*MAX(Parameters!$B$2:$B$4),M33*Parameters!$B$3)</f>
        <v>10</v>
      </c>
      <c r="AE33" s="149">
        <f>IF(RIGHT(C33,2)="CM",0,IF(LEFT(C33,2)="TZ",(('Vergoedingen grondslag'!$F$20+'Vergoedingen grondslag'!$I$20+'Vergoedingen grondslag'!$L$20+'Vergoedingen grondslag'!$O$20)*(M33)+('Vergoedingen grondslag'!$O$20*'Rekenblad Aansluiting'!$N33*0+'Vergoedingen grondslag'!$R$20+'Vergoedingen grondslag'!$U$20)/Parameters!$B$9),(('Vergoedingen grondslag'!$F$11+'Vergoedingen grondslag'!$I$11+'Vergoedingen grondslag'!$L$11+'Vergoedingen grondslag'!$O$11)*(M33))+('Vergoedingen grondslag'!$O$11*'Rekenblad Aansluiting'!$N33*0+'Vergoedingen grondslag'!$R$11+'Vergoedingen grondslag'!$U$11+'Vergoedingen grondslag'!$X$11)/36))</f>
        <v>4.083333333333333</v>
      </c>
      <c r="AF33" s="652">
        <f>M33*Parameters!$B$12</f>
        <v>0</v>
      </c>
      <c r="AG33" s="774">
        <f t="shared" si="19"/>
        <v>14.083333333333332</v>
      </c>
      <c r="AH33" s="775">
        <f t="shared" si="20"/>
        <v>32.821511861111105</v>
      </c>
      <c r="AI33" s="447">
        <f t="shared" si="21"/>
        <v>67.178488138888895</v>
      </c>
      <c r="AJ33" s="173">
        <f t="shared" si="22"/>
        <v>0.67178488138888892</v>
      </c>
      <c r="AK33" s="120" t="b">
        <f t="shared" si="23"/>
        <v>0</v>
      </c>
    </row>
    <row r="34" spans="1:37" ht="14.4">
      <c r="A34" s="182" t="str">
        <f>C34&amp;D34&amp;E34&amp;G34</f>
        <v>KPN Zakelijk BelBasisISDN30 volgende aansluitingVVE nieuwe aanleg</v>
      </c>
      <c r="B34" s="120" t="str">
        <f>C34&amp;D34&amp;G34</f>
        <v>KPN Zakelijk BelBasisISDN30 volgende aansluitingVVE nieuwe aanleg</v>
      </c>
      <c r="C34" s="133" t="s">
        <v>471</v>
      </c>
      <c r="D34" s="133" t="s">
        <v>870</v>
      </c>
      <c r="E34" s="133"/>
      <c r="F34" s="133" t="s">
        <v>4</v>
      </c>
      <c r="G34" s="133" t="s">
        <v>458</v>
      </c>
      <c r="H34" s="133" t="str">
        <f>D34&amp;F34</f>
        <v>ISDN30 volgende aansluitingVVA</v>
      </c>
      <c r="I34" s="120" t="str">
        <f>D34&amp;G34</f>
        <v>ISDN30 volgende aansluitingVVE nieuwe aanleg</v>
      </c>
      <c r="J34" s="493" t="str">
        <f>IF(D34="","",INDEX(Mapping!$H:$H,MATCH($H34,Mapping!$B:$B,0)))</f>
        <v>ISDN30 volgende aansluitingVVA</v>
      </c>
      <c r="K34" s="494" t="str">
        <f>IF(D34="","",INDEX(Mapping!$H:$H,MATCH($I34,Mapping!$B:$B,0)))</f>
        <v>ISDN30 volgende aansluitingVVE nieuwe aanleg</v>
      </c>
      <c r="L34" s="649">
        <f>MATCH(C34&amp;D34&amp;E34,'Tarieven ZM'!$B:$B,0)</f>
        <v>24</v>
      </c>
      <c r="M34" s="133">
        <f>INDEX('Tarieven ZM'!$F:$F,'Rekenblad Aansluiting'!$L34)</f>
        <v>100</v>
      </c>
      <c r="N34" s="133">
        <f>INDEX('Tarieven ZM'!$G:$H,'Rekenblad Aansluiting'!$L34,MATCH($G34,'Tarieven ZM'!$G$4:$H$4))</f>
        <v>100</v>
      </c>
      <c r="O34" s="136">
        <f>M34+N34/Parameters!$B$9</f>
        <v>102.77777777777777</v>
      </c>
      <c r="P34" s="495">
        <f>IF('Rekenblad Aansluiting'!D34="",0,INDEX('inkoop aansluitingen obv ULL'!E:E,MATCH(K34,'inkoop aansluitingen obv ULL'!B:B,0)))</f>
        <v>18.738178527777777</v>
      </c>
      <c r="Q34" s="142">
        <f>IF('Rekenblad Aansluiting'!D34="",0,INDEX('inkoop aansluitingen obv ULL'!F:F,MATCH(K34,'inkoop aansluitingen obv ULL'!B:B,0)))</f>
        <v>153.78</v>
      </c>
      <c r="R34" s="136">
        <f>P34+Q34/'Parameters ULL'!$E$10</f>
        <v>23.009845194444445</v>
      </c>
      <c r="S34" s="138">
        <f>IF(RIGHT(C34,2)="CM",O34*MAX(Parameters!$B$2:$B$4),O34*Parameters!$B$3)</f>
        <v>10.277777777777779</v>
      </c>
      <c r="T34" s="142">
        <f>IF(RIGHT(C34,2)="CM",0,IF(LEFT(C34,2)="TZ",(('Vergoedingen grondslag'!$F$20+'Vergoedingen grondslag'!$I$20+'Vergoedingen grondslag'!$L$20+'Vergoedingen grondslag'!$O$20)*(M34)+('Vergoedingen grondslag'!$O$20*'Rekenblad Aansluiting'!$N34+'Vergoedingen grondslag'!$R$20+'Vergoedingen grondslag'!$U$20)/Parameters!$B$9),(('Vergoedingen grondslag'!$F$11+'Vergoedingen grondslag'!$I$11+'Vergoedingen grondslag'!$L$11+'Vergoedingen grondslag'!$O$11)*(M34))+('Vergoedingen grondslag'!$O$11*'Rekenblad Aansluiting'!$N34+'Vergoedingen grondslag'!$R$11+'Vergoedingen grondslag'!$U$11+'Vergoedingen grondslag'!$X$11)/36))</f>
        <v>4.1111111111111107</v>
      </c>
      <c r="U34" s="142">
        <f>M34*Parameters!$B$12</f>
        <v>0</v>
      </c>
      <c r="V34" s="136">
        <f>SUM(S34:U34)</f>
        <v>14.388888888888889</v>
      </c>
      <c r="W34" s="142">
        <f>R34+V34</f>
        <v>37.398734083333338</v>
      </c>
      <c r="X34" s="138">
        <f>O34-W34</f>
        <v>65.379043694444434</v>
      </c>
      <c r="Y34" s="145">
        <f>X34/O34</f>
        <v>0.63612042513513511</v>
      </c>
      <c r="Z34" s="120" t="b">
        <f>Y34&lt;0</f>
        <v>0</v>
      </c>
      <c r="AA34" s="331" t="s">
        <v>868</v>
      </c>
      <c r="AB34" s="4">
        <v>0</v>
      </c>
      <c r="AD34" s="445">
        <f>IF(RIGHT(C34,2)="CM",M34*MAX(Parameters!$B$2:$B$4),M34*Parameters!$B$3)</f>
        <v>10</v>
      </c>
      <c r="AE34" s="149">
        <f>IF(RIGHT(C34,2)="CM",0,IF(LEFT(C34,2)="TZ",(('Vergoedingen grondslag'!$F$20+'Vergoedingen grondslag'!$I$20+'Vergoedingen grondslag'!$L$20+'Vergoedingen grondslag'!$O$20)*(M34)+('Vergoedingen grondslag'!$O$20*'Rekenblad Aansluiting'!$N34*0+'Vergoedingen grondslag'!$R$20+'Vergoedingen grondslag'!$U$20)/Parameters!$B$9),(('Vergoedingen grondslag'!$F$11+'Vergoedingen grondslag'!$I$11+'Vergoedingen grondslag'!$L$11+'Vergoedingen grondslag'!$O$11)*(M34))+('Vergoedingen grondslag'!$O$11*'Rekenblad Aansluiting'!$N34*0+'Vergoedingen grondslag'!$R$11+'Vergoedingen grondslag'!$U$11+'Vergoedingen grondslag'!$X$11)/36))</f>
        <v>4.083333333333333</v>
      </c>
      <c r="AF34" s="652">
        <f>M34*Parameters!$B$12</f>
        <v>0</v>
      </c>
      <c r="AG34" s="774">
        <f t="shared" si="19"/>
        <v>14.083333333333332</v>
      </c>
      <c r="AH34" s="775">
        <f t="shared" si="20"/>
        <v>32.821511861111105</v>
      </c>
      <c r="AI34" s="447">
        <f t="shared" si="21"/>
        <v>67.178488138888895</v>
      </c>
      <c r="AJ34" s="173">
        <f t="shared" si="22"/>
        <v>0.67178488138888892</v>
      </c>
      <c r="AK34" s="120" t="b">
        <f t="shared" si="23"/>
        <v>0</v>
      </c>
    </row>
    <row r="35" spans="1:37" ht="14.4">
      <c r="A35" s="182" t="str">
        <f t="shared" si="24"/>
        <v>KPN Zakelijk BelBasisCityPhoneVVE nieuwe aanleg</v>
      </c>
      <c r="B35" s="120" t="str">
        <f t="shared" si="25"/>
        <v>KPN Zakelijk BelBasisCityPhoneVVE nieuwe aanleg</v>
      </c>
      <c r="C35" s="133" t="s">
        <v>471</v>
      </c>
      <c r="D35" s="133" t="s">
        <v>470</v>
      </c>
      <c r="E35" s="133"/>
      <c r="F35" s="133" t="s">
        <v>4</v>
      </c>
      <c r="G35" s="133" t="s">
        <v>458</v>
      </c>
      <c r="H35" s="133" t="str">
        <f>D35&amp;F35</f>
        <v>CityPhoneVVA</v>
      </c>
      <c r="I35" s="120" t="str">
        <f t="shared" si="27"/>
        <v>CityPhoneVVE nieuwe aanleg</v>
      </c>
      <c r="J35" s="493" t="str">
        <f>IF(D35="","",INDEX(Mapping!$H:$H,MATCH($H35,Mapping!$B:$B,0)))</f>
        <v>CityPhoneVVA</v>
      </c>
      <c r="K35" s="494" t="str">
        <f>IF(D35="","",INDEX(Mapping!$H:$H,MATCH($I35,Mapping!$B:$B,0)))</f>
        <v>CityPhoneVVE nieuwe aanleg</v>
      </c>
      <c r="L35" s="649">
        <f>MATCH(C35&amp;D35&amp;E35,'Tarieven ZM'!$B:$B,0)</f>
        <v>25</v>
      </c>
      <c r="M35" s="133">
        <f>INDEX('Tarieven ZM'!$F:$F,'Rekenblad Aansluiting'!$L35)</f>
        <v>100</v>
      </c>
      <c r="N35" s="133">
        <f>INDEX('Tarieven ZM'!$G:$H,'Rekenblad Aansluiting'!$L35,MATCH($G35,'Tarieven ZM'!$G$4:$H$4))</f>
        <v>100</v>
      </c>
      <c r="O35" s="136">
        <f>M35+N35/Parameters!$B$9</f>
        <v>102.77777777777777</v>
      </c>
      <c r="P35" s="495">
        <f>IF('Rekenblad Aansluiting'!D35="",0,INDEX('inkoop aansluitingen obv ULL'!E:E,MATCH(K35,'inkoop aansluitingen obv ULL'!B:B,0)))</f>
        <v>0.42000000000000004</v>
      </c>
      <c r="Q35" s="142">
        <f>IF('Rekenblad Aansluiting'!D35="",0,INDEX('inkoop aansluitingen obv ULL'!F:F,MATCH(K35,'inkoop aansluitingen obv ULL'!B:B,0)))</f>
        <v>3.6</v>
      </c>
      <c r="R35" s="136">
        <f>P35+Q35/'Parameters ULL'!$E$10</f>
        <v>0.52</v>
      </c>
      <c r="S35" s="138">
        <f>IF(RIGHT(C35,2)="CM",O35*MAX(Parameters!$B$2:$B$4),O35*Parameters!$B$3)</f>
        <v>10.277777777777779</v>
      </c>
      <c r="T35" s="142">
        <f>IF(RIGHT(C35,2)="CM",0,IF(LEFT(C35,2)="TZ",(('Vergoedingen grondslag'!$F$20+'Vergoedingen grondslag'!$I$20+'Vergoedingen grondslag'!$L$20+'Vergoedingen grondslag'!$O$20)*(M35)+('Vergoedingen grondslag'!$O$20*'Rekenblad Aansluiting'!$N35+'Vergoedingen grondslag'!$R$20+'Vergoedingen grondslag'!$U$20)/Parameters!$B$9),(('Vergoedingen grondslag'!$F$11+'Vergoedingen grondslag'!$I$11+'Vergoedingen grondslag'!$L$11+'Vergoedingen grondslag'!$O$11)*(M35))+('Vergoedingen grondslag'!$O$11*'Rekenblad Aansluiting'!$N35+'Vergoedingen grondslag'!$R$11+'Vergoedingen grondslag'!$U$11+'Vergoedingen grondslag'!$X$11)/36))</f>
        <v>4.1111111111111107</v>
      </c>
      <c r="U35" s="142">
        <f>M35*Parameters!$B$12</f>
        <v>0</v>
      </c>
      <c r="V35" s="136">
        <f t="shared" si="28"/>
        <v>14.388888888888889</v>
      </c>
      <c r="W35" s="142">
        <f t="shared" si="29"/>
        <v>14.908888888888889</v>
      </c>
      <c r="X35" s="138">
        <f t="shared" si="30"/>
        <v>87.868888888888875</v>
      </c>
      <c r="Y35" s="145">
        <f t="shared" si="18"/>
        <v>0.85494054054054047</v>
      </c>
      <c r="Z35" s="120" t="b">
        <f t="shared" si="31"/>
        <v>0</v>
      </c>
      <c r="AA35" s="331" t="s">
        <v>868</v>
      </c>
      <c r="AB35" s="4">
        <v>0</v>
      </c>
      <c r="AD35" s="445">
        <f>IF(RIGHT(C35,2)="CM",M35*MAX(Parameters!$B$2:$B$4),M35*Parameters!$B$3)</f>
        <v>10</v>
      </c>
      <c r="AE35" s="149">
        <f>IF(RIGHT(C35,2)="CM",0,IF(LEFT(C35,2)="TZ",(('Vergoedingen grondslag'!$F$20+'Vergoedingen grondslag'!$I$20+'Vergoedingen grondslag'!$L$20+'Vergoedingen grondslag'!$O$20)*(M35)+('Vergoedingen grondslag'!$O$20*'Rekenblad Aansluiting'!$N35*0+'Vergoedingen grondslag'!$R$20+'Vergoedingen grondslag'!$U$20)/Parameters!$B$9),(('Vergoedingen grondslag'!$F$11+'Vergoedingen grondslag'!$I$11+'Vergoedingen grondslag'!$L$11+'Vergoedingen grondslag'!$O$11)*(M35))+('Vergoedingen grondslag'!$O$11*'Rekenblad Aansluiting'!$N35*0+'Vergoedingen grondslag'!$R$11+'Vergoedingen grondslag'!$U$11+'Vergoedingen grondslag'!$X$11)/36))</f>
        <v>4.083333333333333</v>
      </c>
      <c r="AF35" s="652">
        <f>M35*Parameters!$B$12</f>
        <v>0</v>
      </c>
      <c r="AG35" s="774">
        <f t="shared" si="19"/>
        <v>14.083333333333332</v>
      </c>
      <c r="AH35" s="775">
        <f t="shared" si="20"/>
        <v>14.503333333333332</v>
      </c>
      <c r="AI35" s="447">
        <f t="shared" si="21"/>
        <v>85.49666666666667</v>
      </c>
      <c r="AJ35" s="173">
        <f t="shared" si="22"/>
        <v>0.85496666666666665</v>
      </c>
      <c r="AK35" s="120" t="b">
        <f t="shared" si="23"/>
        <v>0</v>
      </c>
    </row>
    <row r="36" spans="1:37" ht="14.4">
      <c r="A36" s="182" t="str">
        <f t="shared" si="24"/>
        <v>TZ BelBasisPSTNVVE nieuwe aanleg</v>
      </c>
      <c r="B36" s="120" t="str">
        <f t="shared" si="25"/>
        <v>TZ BelBasisPSTNVVE nieuwe aanleg</v>
      </c>
      <c r="C36" s="133" t="s">
        <v>472</v>
      </c>
      <c r="D36" s="133" t="s">
        <v>463</v>
      </c>
      <c r="E36" s="133"/>
      <c r="F36" s="133" t="s">
        <v>4</v>
      </c>
      <c r="G36" s="133" t="s">
        <v>458</v>
      </c>
      <c r="H36" s="133" t="str">
        <f t="shared" si="26"/>
        <v>PSTNVVA</v>
      </c>
      <c r="I36" s="120" t="str">
        <f t="shared" si="27"/>
        <v>PSTNVVE nieuwe aanleg</v>
      </c>
      <c r="J36" s="493" t="str">
        <f>IF(D36="","",INDEX(Mapping!$H:$H,MATCH($H36,Mapping!$B:$B,0)))</f>
        <v>PSTNVVA</v>
      </c>
      <c r="K36" s="494" t="str">
        <f>IF(D36="","",INDEX(Mapping!$H:$H,MATCH($I36,Mapping!$B:$B,0)))</f>
        <v>PSTNVVE nieuwe aanleg</v>
      </c>
      <c r="L36" s="649">
        <f>MATCH(C36&amp;D36&amp;E36,'Tarieven ZM'!$B:$B,0)</f>
        <v>26</v>
      </c>
      <c r="M36" s="133">
        <f>INDEX('Tarieven ZM'!$F:$F,'Rekenblad Aansluiting'!$L36)</f>
        <v>100</v>
      </c>
      <c r="N36" s="133">
        <f>INDEX('Tarieven ZM'!$G:$H,'Rekenblad Aansluiting'!$L36,MATCH($G36,'Tarieven ZM'!$G$4:$H$4))</f>
        <v>100</v>
      </c>
      <c r="O36" s="136">
        <f>M36+N36/Parameters!$B$9</f>
        <v>102.77777777777777</v>
      </c>
      <c r="P36" s="495">
        <f>IF('Rekenblad Aansluiting'!D36="",0,INDEX('inkoop aansluitingen obv ULL'!E:E,MATCH(K36,'inkoop aansluitingen obv ULL'!B:B,0)))</f>
        <v>9.2350886055555534</v>
      </c>
      <c r="Q36" s="142">
        <f>IF('Rekenblad Aansluiting'!D36="",0,INDEX('inkoop aansluitingen obv ULL'!F:F,MATCH(K36,'inkoop aansluitingen obv ULL'!B:B,0)))</f>
        <v>76.89</v>
      </c>
      <c r="R36" s="136">
        <f>P36+Q36/'Parameters ULL'!$E$10</f>
        <v>11.370921938888888</v>
      </c>
      <c r="S36" s="138">
        <f>IF(RIGHT(C36,2)="CM",O36*MAX(Parameters!$B$2:$B$4),O36*Parameters!$B$3)</f>
        <v>10.277777777777779</v>
      </c>
      <c r="T36" s="142">
        <f>IF(RIGHT(C36,2)="CM",0,IF(LEFT(C36,2)="TZ",(('Vergoedingen grondslag'!$F$20+'Vergoedingen grondslag'!$I$20+'Vergoedingen grondslag'!$L$20+'Vergoedingen grondslag'!$O$20)*(M36)+('Vergoedingen grondslag'!$O$20*'Rekenblad Aansluiting'!$N36+'Vergoedingen grondslag'!$R$20+'Vergoedingen grondslag'!$U$20)/Parameters!$B$9),(('Vergoedingen grondslag'!$F$11+'Vergoedingen grondslag'!$I$11+'Vergoedingen grondslag'!$L$11+'Vergoedingen grondslag'!$O$11)*(M36))+('Vergoedingen grondslag'!$O$11*'Rekenblad Aansluiting'!$N36+'Vergoedingen grondslag'!$R$11+'Vergoedingen grondslag'!$U$11+'Vergoedingen grondslag'!$X$11)/36))</f>
        <v>4.0558333333333332</v>
      </c>
      <c r="U36" s="142">
        <f>M36*Parameters!$B$12</f>
        <v>0</v>
      </c>
      <c r="V36" s="136">
        <f t="shared" si="28"/>
        <v>14.333611111111111</v>
      </c>
      <c r="W36" s="142">
        <f t="shared" si="29"/>
        <v>25.704533049999998</v>
      </c>
      <c r="X36" s="138">
        <f t="shared" si="30"/>
        <v>77.073244727777777</v>
      </c>
      <c r="Y36" s="145">
        <f t="shared" si="18"/>
        <v>0.74990184059459464</v>
      </c>
      <c r="Z36" s="120" t="b">
        <f t="shared" si="31"/>
        <v>0</v>
      </c>
      <c r="AA36" s="331" t="s">
        <v>868</v>
      </c>
      <c r="AB36" s="4">
        <v>0</v>
      </c>
      <c r="AD36" s="445">
        <f>IF(RIGHT(C36,2)="CM",M36*MAX(Parameters!$B$2:$B$4),M36*Parameters!$B$3)</f>
        <v>10</v>
      </c>
      <c r="AE36" s="149">
        <f>IF(RIGHT(C36,2)="CM",0,IF(LEFT(C36,2)="TZ",(('Vergoedingen grondslag'!$F$20+'Vergoedingen grondslag'!$I$20+'Vergoedingen grondslag'!$L$20+'Vergoedingen grondslag'!$O$20)*(M36)+('Vergoedingen grondslag'!$O$20*'Rekenblad Aansluiting'!$N36*0+'Vergoedingen grondslag'!$R$20+'Vergoedingen grondslag'!$U$20)/Parameters!$B$9),(('Vergoedingen grondslag'!$F$11+'Vergoedingen grondslag'!$I$11+'Vergoedingen grondslag'!$L$11+'Vergoedingen grondslag'!$O$11)*(M36))+('Vergoedingen grondslag'!$O$11*'Rekenblad Aansluiting'!$N36*0+'Vergoedingen grondslag'!$R$11+'Vergoedingen grondslag'!$U$11+'Vergoedingen grondslag'!$X$11)/36))</f>
        <v>4.0280555555555555</v>
      </c>
      <c r="AF36" s="652">
        <f>M36*Parameters!$B$12</f>
        <v>0</v>
      </c>
      <c r="AG36" s="774">
        <f t="shared" si="19"/>
        <v>14.028055555555556</v>
      </c>
      <c r="AH36" s="775">
        <f t="shared" si="20"/>
        <v>23.263144161111107</v>
      </c>
      <c r="AI36" s="447">
        <f t="shared" si="21"/>
        <v>76.736855838888886</v>
      </c>
      <c r="AJ36" s="173">
        <f t="shared" si="22"/>
        <v>0.76736855838888884</v>
      </c>
      <c r="AK36" s="120" t="b">
        <f t="shared" si="23"/>
        <v>0</v>
      </c>
    </row>
    <row r="37" spans="1:37" ht="14.4">
      <c r="A37" s="182" t="str">
        <f t="shared" si="24"/>
        <v>TZ BelBasisISDN1VVE nieuwe aanleg</v>
      </c>
      <c r="B37" s="120" t="str">
        <f t="shared" si="25"/>
        <v>TZ BelBasisISDN1VVE nieuwe aanleg</v>
      </c>
      <c r="C37" s="133" t="s">
        <v>472</v>
      </c>
      <c r="D37" s="133" t="s">
        <v>464</v>
      </c>
      <c r="E37" s="133"/>
      <c r="F37" s="133" t="s">
        <v>4</v>
      </c>
      <c r="G37" s="133" t="s">
        <v>458</v>
      </c>
      <c r="H37" s="133" t="str">
        <f t="shared" si="26"/>
        <v>ISDN1VVA</v>
      </c>
      <c r="I37" s="120" t="str">
        <f t="shared" si="27"/>
        <v>ISDN1VVE nieuwe aanleg</v>
      </c>
      <c r="J37" s="493" t="str">
        <f>IF(D37="","",INDEX(Mapping!$H:$H,MATCH($H37,Mapping!$B:$B,0)))</f>
        <v>ISDN1VVA</v>
      </c>
      <c r="K37" s="494" t="str">
        <f>IF(D37="","",INDEX(Mapping!$H:$H,MATCH($I37,Mapping!$B:$B,0)))</f>
        <v>ISDN1VVE nieuwe aanleg</v>
      </c>
      <c r="L37" s="649">
        <f>MATCH(C37&amp;D37&amp;E37,'Tarieven ZM'!$B:$B,0)</f>
        <v>27</v>
      </c>
      <c r="M37" s="133">
        <f>INDEX('Tarieven ZM'!$F:$F,'Rekenblad Aansluiting'!$L37)</f>
        <v>100</v>
      </c>
      <c r="N37" s="133">
        <f>INDEX('Tarieven ZM'!$G:$H,'Rekenblad Aansluiting'!$L37,MATCH($G37,'Tarieven ZM'!$G$4:$H$4))</f>
        <v>100</v>
      </c>
      <c r="O37" s="136">
        <f>M37+N37/Parameters!$B$9</f>
        <v>102.77777777777777</v>
      </c>
      <c r="P37" s="495">
        <f>IF('Rekenblad Aansluiting'!D37="",0,INDEX('inkoop aansluitingen obv ULL'!E:E,MATCH(K37,'inkoop aansluitingen obv ULL'!B:B,0)))</f>
        <v>9.2350886055555534</v>
      </c>
      <c r="Q37" s="142">
        <f>IF('Rekenblad Aansluiting'!D37="",0,INDEX('inkoop aansluitingen obv ULL'!F:F,MATCH(K37,'inkoop aansluitingen obv ULL'!B:B,0)))</f>
        <v>76.89</v>
      </c>
      <c r="R37" s="136">
        <f>P37+Q37/'Parameters ULL'!$E$10</f>
        <v>11.370921938888888</v>
      </c>
      <c r="S37" s="138">
        <f>IF(RIGHT(C37,2)="CM",O37*MAX(Parameters!$B$2:$B$4),O37*Parameters!$B$3)</f>
        <v>10.277777777777779</v>
      </c>
      <c r="T37" s="142">
        <f>IF(RIGHT(C37,2)="CM",0,IF(LEFT(C37,2)="TZ",(('Vergoedingen grondslag'!$F$20+'Vergoedingen grondslag'!$I$20+'Vergoedingen grondslag'!$L$20+'Vergoedingen grondslag'!$O$20)*(M37)+('Vergoedingen grondslag'!$O$20*'Rekenblad Aansluiting'!$N37+'Vergoedingen grondslag'!$R$20+'Vergoedingen grondslag'!$U$20)/Parameters!$B$9),(('Vergoedingen grondslag'!$F$11+'Vergoedingen grondslag'!$I$11+'Vergoedingen grondslag'!$L$11+'Vergoedingen grondslag'!$O$11)*(M37))+('Vergoedingen grondslag'!$O$11*'Rekenblad Aansluiting'!$N37+'Vergoedingen grondslag'!$R$11+'Vergoedingen grondslag'!$U$11+'Vergoedingen grondslag'!$X$11)/36))</f>
        <v>4.0558333333333332</v>
      </c>
      <c r="U37" s="142">
        <f>M37*Parameters!$B$12</f>
        <v>0</v>
      </c>
      <c r="V37" s="136">
        <f t="shared" si="28"/>
        <v>14.333611111111111</v>
      </c>
      <c r="W37" s="142">
        <f t="shared" si="29"/>
        <v>25.704533049999998</v>
      </c>
      <c r="X37" s="138">
        <f t="shared" si="30"/>
        <v>77.073244727777777</v>
      </c>
      <c r="Y37" s="145">
        <f t="shared" si="18"/>
        <v>0.74990184059459464</v>
      </c>
      <c r="Z37" s="120" t="b">
        <f t="shared" si="31"/>
        <v>0</v>
      </c>
      <c r="AA37" s="331" t="s">
        <v>868</v>
      </c>
      <c r="AB37" s="4">
        <v>0</v>
      </c>
      <c r="AD37" s="445">
        <f>IF(RIGHT(C37,2)="CM",M37*MAX(Parameters!$B$2:$B$4),M37*Parameters!$B$3)</f>
        <v>10</v>
      </c>
      <c r="AE37" s="149">
        <f>IF(RIGHT(C37,2)="CM",0,IF(LEFT(C37,2)="TZ",(('Vergoedingen grondslag'!$F$20+'Vergoedingen grondslag'!$I$20+'Vergoedingen grondslag'!$L$20+'Vergoedingen grondslag'!$O$20)*(M37)+('Vergoedingen grondslag'!$O$20*'Rekenblad Aansluiting'!$N37*0+'Vergoedingen grondslag'!$R$20+'Vergoedingen grondslag'!$U$20)/Parameters!$B$9),(('Vergoedingen grondslag'!$F$11+'Vergoedingen grondslag'!$I$11+'Vergoedingen grondslag'!$L$11+'Vergoedingen grondslag'!$O$11)*(M37))+('Vergoedingen grondslag'!$O$11*'Rekenblad Aansluiting'!$N37*0+'Vergoedingen grondslag'!$R$11+'Vergoedingen grondslag'!$U$11+'Vergoedingen grondslag'!$X$11)/36))</f>
        <v>4.0280555555555555</v>
      </c>
      <c r="AF37" s="652">
        <f>M37*Parameters!$B$12</f>
        <v>0</v>
      </c>
      <c r="AG37" s="774">
        <f t="shared" si="19"/>
        <v>14.028055555555556</v>
      </c>
      <c r="AH37" s="775">
        <f t="shared" si="20"/>
        <v>23.263144161111107</v>
      </c>
      <c r="AI37" s="447">
        <f t="shared" si="21"/>
        <v>76.736855838888886</v>
      </c>
      <c r="AJ37" s="173">
        <f t="shared" si="22"/>
        <v>0.76736855838888884</v>
      </c>
      <c r="AK37" s="120" t="b">
        <f t="shared" si="23"/>
        <v>0</v>
      </c>
    </row>
    <row r="38" spans="1:37" ht="14.4">
      <c r="A38" s="182" t="str">
        <f t="shared" si="24"/>
        <v>TZ BelBasisISDN2VVE nieuwe aanleg</v>
      </c>
      <c r="B38" s="120" t="str">
        <f t="shared" si="25"/>
        <v>TZ BelBasisISDN2VVE nieuwe aanleg</v>
      </c>
      <c r="C38" s="133" t="s">
        <v>472</v>
      </c>
      <c r="D38" s="133" t="s">
        <v>465</v>
      </c>
      <c r="E38" s="133"/>
      <c r="F38" s="133" t="s">
        <v>4</v>
      </c>
      <c r="G38" s="133" t="s">
        <v>458</v>
      </c>
      <c r="H38" s="133" t="str">
        <f t="shared" si="26"/>
        <v>ISDN2VVA</v>
      </c>
      <c r="I38" s="120" t="str">
        <f t="shared" si="27"/>
        <v>ISDN2VVE nieuwe aanleg</v>
      </c>
      <c r="J38" s="493" t="str">
        <f>IF(D38="","",INDEX(Mapping!$H:$H,MATCH($H38,Mapping!$B:$B,0)))</f>
        <v>ISDN2VVA</v>
      </c>
      <c r="K38" s="494" t="str">
        <f>IF(D38="","",INDEX(Mapping!$H:$H,MATCH($I38,Mapping!$B:$B,0)))</f>
        <v>ISDN2VVE nieuwe aanleg</v>
      </c>
      <c r="L38" s="649">
        <f>MATCH(C38&amp;D38&amp;E38,'Tarieven ZM'!$B:$B,0)</f>
        <v>28</v>
      </c>
      <c r="M38" s="133">
        <f>INDEX('Tarieven ZM'!$F:$F,'Rekenblad Aansluiting'!$L38)</f>
        <v>100</v>
      </c>
      <c r="N38" s="133">
        <f>INDEX('Tarieven ZM'!$G:$H,'Rekenblad Aansluiting'!$L38,MATCH($G38,'Tarieven ZM'!$G$4:$H$4))</f>
        <v>100</v>
      </c>
      <c r="O38" s="136">
        <f>M38+N38/Parameters!$B$9</f>
        <v>102.77777777777777</v>
      </c>
      <c r="P38" s="495">
        <f>IF('Rekenblad Aansluiting'!D38="",0,INDEX('inkoop aansluitingen obv ULL'!E:E,MATCH(K38,'inkoop aansluitingen obv ULL'!B:B,0)))</f>
        <v>9.2350886055555534</v>
      </c>
      <c r="Q38" s="142">
        <f>IF('Rekenblad Aansluiting'!D38="",0,INDEX('inkoop aansluitingen obv ULL'!F:F,MATCH(K38,'inkoop aansluitingen obv ULL'!B:B,0)))</f>
        <v>76.89</v>
      </c>
      <c r="R38" s="136">
        <f>P38+Q38/'Parameters ULL'!$E$10</f>
        <v>11.370921938888888</v>
      </c>
      <c r="S38" s="138">
        <f>IF(RIGHT(C38,2)="CM",O38*MAX(Parameters!$B$2:$B$4),O38*Parameters!$B$3)</f>
        <v>10.277777777777779</v>
      </c>
      <c r="T38" s="142">
        <f>IF(RIGHT(C38,2)="CM",0,IF(LEFT(C38,2)="TZ",(('Vergoedingen grondslag'!$F$20+'Vergoedingen grondslag'!$I$20+'Vergoedingen grondslag'!$L$20+'Vergoedingen grondslag'!$O$20)*(M38)+('Vergoedingen grondslag'!$O$20*'Rekenblad Aansluiting'!$N38+'Vergoedingen grondslag'!$R$20+'Vergoedingen grondslag'!$U$20)/Parameters!$B$9),(('Vergoedingen grondslag'!$F$11+'Vergoedingen grondslag'!$I$11+'Vergoedingen grondslag'!$L$11+'Vergoedingen grondslag'!$O$11)*(M38))+('Vergoedingen grondslag'!$O$11*'Rekenblad Aansluiting'!$N38+'Vergoedingen grondslag'!$R$11+'Vergoedingen grondslag'!$U$11+'Vergoedingen grondslag'!$X$11)/36))</f>
        <v>4.0558333333333332</v>
      </c>
      <c r="U38" s="142">
        <f>M38*Parameters!$B$12</f>
        <v>0</v>
      </c>
      <c r="V38" s="136">
        <f t="shared" si="28"/>
        <v>14.333611111111111</v>
      </c>
      <c r="W38" s="142">
        <f t="shared" si="29"/>
        <v>25.704533049999998</v>
      </c>
      <c r="X38" s="138">
        <f t="shared" si="30"/>
        <v>77.073244727777777</v>
      </c>
      <c r="Y38" s="145">
        <f t="shared" si="18"/>
        <v>0.74990184059459464</v>
      </c>
      <c r="Z38" s="120" t="b">
        <f t="shared" si="31"/>
        <v>0</v>
      </c>
      <c r="AA38" s="331" t="s">
        <v>868</v>
      </c>
      <c r="AB38" s="4">
        <v>0</v>
      </c>
      <c r="AD38" s="445">
        <f>IF(RIGHT(C38,2)="CM",M38*MAX(Parameters!$B$2:$B$4),M38*Parameters!$B$3)</f>
        <v>10</v>
      </c>
      <c r="AE38" s="149">
        <f>IF(RIGHT(C38,2)="CM",0,IF(LEFT(C38,2)="TZ",(('Vergoedingen grondslag'!$F$20+'Vergoedingen grondslag'!$I$20+'Vergoedingen grondslag'!$L$20+'Vergoedingen grondslag'!$O$20)*(M38)+('Vergoedingen grondslag'!$O$20*'Rekenblad Aansluiting'!$N38*0+'Vergoedingen grondslag'!$R$20+'Vergoedingen grondslag'!$U$20)/Parameters!$B$9),(('Vergoedingen grondslag'!$F$11+'Vergoedingen grondslag'!$I$11+'Vergoedingen grondslag'!$L$11+'Vergoedingen grondslag'!$O$11)*(M38))+('Vergoedingen grondslag'!$O$11*'Rekenblad Aansluiting'!$N38*0+'Vergoedingen grondslag'!$R$11+'Vergoedingen grondslag'!$U$11+'Vergoedingen grondslag'!$X$11)/36))</f>
        <v>4.0280555555555555</v>
      </c>
      <c r="AF38" s="652">
        <f>M38*Parameters!$B$12</f>
        <v>0</v>
      </c>
      <c r="AG38" s="774">
        <f t="shared" si="19"/>
        <v>14.028055555555556</v>
      </c>
      <c r="AH38" s="775">
        <f t="shared" si="20"/>
        <v>23.263144161111107</v>
      </c>
      <c r="AI38" s="447">
        <f t="shared" si="21"/>
        <v>76.736855838888886</v>
      </c>
      <c r="AJ38" s="173">
        <f t="shared" si="22"/>
        <v>0.76736855838888884</v>
      </c>
      <c r="AK38" s="120" t="b">
        <f t="shared" si="23"/>
        <v>0</v>
      </c>
    </row>
    <row r="39" spans="1:37" ht="14.4">
      <c r="A39" s="182" t="str">
        <f t="shared" si="24"/>
        <v>TZ BelBasisISDN15VVE nieuwe aanleg</v>
      </c>
      <c r="B39" s="120" t="str">
        <f t="shared" si="25"/>
        <v>TZ BelBasisISDN15VVE nieuwe aanleg</v>
      </c>
      <c r="C39" s="133" t="s">
        <v>472</v>
      </c>
      <c r="D39" s="133" t="s">
        <v>466</v>
      </c>
      <c r="E39" s="133"/>
      <c r="F39" s="133" t="s">
        <v>4</v>
      </c>
      <c r="G39" s="133" t="s">
        <v>458</v>
      </c>
      <c r="H39" s="133" t="str">
        <f t="shared" si="26"/>
        <v>ISDN15VVA</v>
      </c>
      <c r="I39" s="120" t="str">
        <f t="shared" si="27"/>
        <v>ISDN15VVE nieuwe aanleg</v>
      </c>
      <c r="J39" s="493" t="str">
        <f>IF(D39="","",INDEX(Mapping!$H:$H,MATCH($H39,Mapping!$B:$B,0)))</f>
        <v>ISDN15VVA</v>
      </c>
      <c r="K39" s="494" t="str">
        <f>IF(D39="","",INDEX(Mapping!$H:$H,MATCH($I39,Mapping!$B:$B,0)))</f>
        <v>ISDN15VVE nieuwe aanleg</v>
      </c>
      <c r="L39" s="649">
        <f>MATCH(C39&amp;D39&amp;E39,'Tarieven ZM'!$B:$B,0)</f>
        <v>29</v>
      </c>
      <c r="M39" s="133">
        <f>INDEX('Tarieven ZM'!$F:$F,'Rekenblad Aansluiting'!$L39)</f>
        <v>100</v>
      </c>
      <c r="N39" s="133">
        <f>INDEX('Tarieven ZM'!$G:$H,'Rekenblad Aansluiting'!$L39,MATCH($G39,'Tarieven ZM'!$G$4:$H$4))</f>
        <v>100</v>
      </c>
      <c r="O39" s="136">
        <f>M39+N39/Parameters!$B$9</f>
        <v>102.77777777777777</v>
      </c>
      <c r="P39" s="495">
        <f>IF('Rekenblad Aansluiting'!D39="",0,INDEX('inkoop aansluitingen obv ULL'!E:E,MATCH(K39,'inkoop aansluitingen obv ULL'!B:B,0)))</f>
        <v>18.738178527777777</v>
      </c>
      <c r="Q39" s="142">
        <f>IF('Rekenblad Aansluiting'!D39="",0,INDEX('inkoop aansluitingen obv ULL'!F:F,MATCH(K39,'inkoop aansluitingen obv ULL'!B:B,0)))</f>
        <v>153.78</v>
      </c>
      <c r="R39" s="136">
        <f>P39+Q39/'Parameters ULL'!$E$10</f>
        <v>23.009845194444445</v>
      </c>
      <c r="S39" s="138">
        <f>IF(RIGHT(C39,2)="CM",O39*MAX(Parameters!$B$2:$B$4),O39*Parameters!$B$3)</f>
        <v>10.277777777777779</v>
      </c>
      <c r="T39" s="142">
        <f>IF(RIGHT(C39,2)="CM",0,IF(LEFT(C39,2)="TZ",(('Vergoedingen grondslag'!$F$20+'Vergoedingen grondslag'!$I$20+'Vergoedingen grondslag'!$L$20+'Vergoedingen grondslag'!$O$20)*(M39)+('Vergoedingen grondslag'!$O$20*'Rekenblad Aansluiting'!$N39+'Vergoedingen grondslag'!$R$20+'Vergoedingen grondslag'!$U$20)/Parameters!$B$9),(('Vergoedingen grondslag'!$F$11+'Vergoedingen grondslag'!$I$11+'Vergoedingen grondslag'!$L$11+'Vergoedingen grondslag'!$O$11)*(M39))+('Vergoedingen grondslag'!$O$11*'Rekenblad Aansluiting'!$N39+'Vergoedingen grondslag'!$R$11+'Vergoedingen grondslag'!$U$11+'Vergoedingen grondslag'!$X$11)/36))</f>
        <v>4.0558333333333332</v>
      </c>
      <c r="U39" s="142">
        <f>M39*Parameters!$B$12</f>
        <v>0</v>
      </c>
      <c r="V39" s="136">
        <f t="shared" si="28"/>
        <v>14.333611111111111</v>
      </c>
      <c r="W39" s="142">
        <f t="shared" si="29"/>
        <v>37.343456305555556</v>
      </c>
      <c r="X39" s="138">
        <f t="shared" si="30"/>
        <v>65.434321472222223</v>
      </c>
      <c r="Y39" s="145">
        <f t="shared" si="18"/>
        <v>0.63665826297297301</v>
      </c>
      <c r="Z39" s="120" t="b">
        <f t="shared" si="31"/>
        <v>0</v>
      </c>
      <c r="AA39" s="331" t="s">
        <v>868</v>
      </c>
      <c r="AB39" s="4">
        <v>0</v>
      </c>
      <c r="AD39" s="445">
        <f>IF(RIGHT(C39,2)="CM",M39*MAX(Parameters!$B$2:$B$4),M39*Parameters!$B$3)</f>
        <v>10</v>
      </c>
      <c r="AE39" s="149">
        <f>IF(RIGHT(C39,2)="CM",0,IF(LEFT(C39,2)="TZ",(('Vergoedingen grondslag'!$F$20+'Vergoedingen grondslag'!$I$20+'Vergoedingen grondslag'!$L$20+'Vergoedingen grondslag'!$O$20)*(M39)+('Vergoedingen grondslag'!$O$20*'Rekenblad Aansluiting'!$N39*0+'Vergoedingen grondslag'!$R$20+'Vergoedingen grondslag'!$U$20)/Parameters!$B$9),(('Vergoedingen grondslag'!$F$11+'Vergoedingen grondslag'!$I$11+'Vergoedingen grondslag'!$L$11+'Vergoedingen grondslag'!$O$11)*(M39))+('Vergoedingen grondslag'!$O$11*'Rekenblad Aansluiting'!$N39*0+'Vergoedingen grondslag'!$R$11+'Vergoedingen grondslag'!$U$11+'Vergoedingen grondslag'!$X$11)/36))</f>
        <v>4.0280555555555555</v>
      </c>
      <c r="AF39" s="652">
        <f>M39*Parameters!$B$12</f>
        <v>0</v>
      </c>
      <c r="AG39" s="774">
        <f t="shared" si="19"/>
        <v>14.028055555555556</v>
      </c>
      <c r="AH39" s="775">
        <f t="shared" si="20"/>
        <v>32.76623408333333</v>
      </c>
      <c r="AI39" s="447">
        <f t="shared" si="21"/>
        <v>67.23376591666667</v>
      </c>
      <c r="AJ39" s="173">
        <f t="shared" si="22"/>
        <v>0.67233765916666666</v>
      </c>
      <c r="AK39" s="120" t="b">
        <f t="shared" si="23"/>
        <v>0</v>
      </c>
    </row>
    <row r="40" spans="1:37" ht="14.4">
      <c r="A40" s="182" t="str">
        <f t="shared" si="24"/>
        <v>TZ BelBasisISDN20VVE nieuwe aanleg</v>
      </c>
      <c r="B40" s="120" t="str">
        <f t="shared" si="25"/>
        <v>TZ BelBasisISDN20VVE nieuwe aanleg</v>
      </c>
      <c r="C40" s="133" t="s">
        <v>472</v>
      </c>
      <c r="D40" s="133" t="s">
        <v>468</v>
      </c>
      <c r="E40" s="133"/>
      <c r="F40" s="133" t="s">
        <v>4</v>
      </c>
      <c r="G40" s="133" t="s">
        <v>458</v>
      </c>
      <c r="H40" s="133" t="str">
        <f t="shared" si="26"/>
        <v>ISDN20VVA</v>
      </c>
      <c r="I40" s="120" t="str">
        <f t="shared" si="27"/>
        <v>ISDN20VVE nieuwe aanleg</v>
      </c>
      <c r="J40" s="493" t="str">
        <f>IF(D40="","",INDEX(Mapping!$H:$H,MATCH($H40,Mapping!$B:$B,0)))</f>
        <v>ISDN20VVA</v>
      </c>
      <c r="K40" s="494" t="str">
        <f>IF(D40="","",INDEX(Mapping!$H:$H,MATCH($I40,Mapping!$B:$B,0)))</f>
        <v>ISDN20VVE nieuwe aanleg</v>
      </c>
      <c r="L40" s="649">
        <f>MATCH(C40&amp;D40&amp;E40,'Tarieven ZM'!$B:$B,0)</f>
        <v>30</v>
      </c>
      <c r="M40" s="133">
        <f>INDEX('Tarieven ZM'!$F:$F,'Rekenblad Aansluiting'!$L40)</f>
        <v>100</v>
      </c>
      <c r="N40" s="133">
        <f>INDEX('Tarieven ZM'!$G:$H,'Rekenblad Aansluiting'!$L40,MATCH($G40,'Tarieven ZM'!$G$4:$H$4))</f>
        <v>100</v>
      </c>
      <c r="O40" s="136">
        <f>M40+N40/Parameters!$B$9</f>
        <v>102.77777777777777</v>
      </c>
      <c r="P40" s="495">
        <f>IF('Rekenblad Aansluiting'!D40="",0,INDEX('inkoop aansluitingen obv ULL'!E:E,MATCH(K40,'inkoop aansluitingen obv ULL'!B:B,0)))</f>
        <v>18.738178527777777</v>
      </c>
      <c r="Q40" s="142">
        <f>IF('Rekenblad Aansluiting'!D40="",0,INDEX('inkoop aansluitingen obv ULL'!F:F,MATCH(K40,'inkoop aansluitingen obv ULL'!B:B,0)))</f>
        <v>153.78</v>
      </c>
      <c r="R40" s="136">
        <f>P40+Q40/'Parameters ULL'!$E$10</f>
        <v>23.009845194444445</v>
      </c>
      <c r="S40" s="138">
        <f>IF(RIGHT(C40,2)="CM",O40*MAX(Parameters!$B$2:$B$4),O40*Parameters!$B$3)</f>
        <v>10.277777777777779</v>
      </c>
      <c r="T40" s="142">
        <f>IF(RIGHT(C40,2)="CM",0,IF(LEFT(C40,2)="TZ",(('Vergoedingen grondslag'!$F$20+'Vergoedingen grondslag'!$I$20+'Vergoedingen grondslag'!$L$20+'Vergoedingen grondslag'!$O$20)*(M40)+('Vergoedingen grondslag'!$O$20*'Rekenblad Aansluiting'!$N40+'Vergoedingen grondslag'!$R$20+'Vergoedingen grondslag'!$U$20)/Parameters!$B$9),(('Vergoedingen grondslag'!$F$11+'Vergoedingen grondslag'!$I$11+'Vergoedingen grondslag'!$L$11+'Vergoedingen grondslag'!$O$11)*(M40))+('Vergoedingen grondslag'!$O$11*'Rekenblad Aansluiting'!$N40+'Vergoedingen grondslag'!$R$11+'Vergoedingen grondslag'!$U$11+'Vergoedingen grondslag'!$X$11)/36))</f>
        <v>4.0558333333333332</v>
      </c>
      <c r="U40" s="142">
        <f>M40*Parameters!$B$12</f>
        <v>0</v>
      </c>
      <c r="V40" s="136">
        <f t="shared" si="28"/>
        <v>14.333611111111111</v>
      </c>
      <c r="W40" s="142">
        <f t="shared" si="29"/>
        <v>37.343456305555556</v>
      </c>
      <c r="X40" s="138">
        <f t="shared" si="30"/>
        <v>65.434321472222223</v>
      </c>
      <c r="Y40" s="145">
        <f t="shared" si="18"/>
        <v>0.63665826297297301</v>
      </c>
      <c r="Z40" s="120" t="b">
        <f t="shared" si="31"/>
        <v>0</v>
      </c>
      <c r="AA40" s="331" t="s">
        <v>868</v>
      </c>
      <c r="AB40" s="4">
        <v>0</v>
      </c>
      <c r="AD40" s="445">
        <f>IF(RIGHT(C40,2)="CM",M40*MAX(Parameters!$B$2:$B$4),M40*Parameters!$B$3)</f>
        <v>10</v>
      </c>
      <c r="AE40" s="149">
        <f>IF(RIGHT(C40,2)="CM",0,IF(LEFT(C40,2)="TZ",(('Vergoedingen grondslag'!$F$20+'Vergoedingen grondslag'!$I$20+'Vergoedingen grondslag'!$L$20+'Vergoedingen grondslag'!$O$20)*(M40)+('Vergoedingen grondslag'!$O$20*'Rekenblad Aansluiting'!$N40*0+'Vergoedingen grondslag'!$R$20+'Vergoedingen grondslag'!$U$20)/Parameters!$B$9),(('Vergoedingen grondslag'!$F$11+'Vergoedingen grondslag'!$I$11+'Vergoedingen grondslag'!$L$11+'Vergoedingen grondslag'!$O$11)*(M40))+('Vergoedingen grondslag'!$O$11*'Rekenblad Aansluiting'!$N40*0+'Vergoedingen grondslag'!$R$11+'Vergoedingen grondslag'!$U$11+'Vergoedingen grondslag'!$X$11)/36))</f>
        <v>4.0280555555555555</v>
      </c>
      <c r="AF40" s="652">
        <f>M40*Parameters!$B$12</f>
        <v>0</v>
      </c>
      <c r="AG40" s="774">
        <f t="shared" si="19"/>
        <v>14.028055555555556</v>
      </c>
      <c r="AH40" s="775">
        <f t="shared" si="20"/>
        <v>32.76623408333333</v>
      </c>
      <c r="AI40" s="447">
        <f t="shared" si="21"/>
        <v>67.23376591666667</v>
      </c>
      <c r="AJ40" s="173">
        <f t="shared" si="22"/>
        <v>0.67233765916666666</v>
      </c>
      <c r="AK40" s="120" t="b">
        <f t="shared" si="23"/>
        <v>0</v>
      </c>
    </row>
    <row r="41" spans="1:37" ht="14.4">
      <c r="A41" s="182" t="str">
        <f t="shared" si="24"/>
        <v>TZ BelBasisISDN30 eerste aansluitingVVE nieuwe aanleg</v>
      </c>
      <c r="B41" s="120" t="str">
        <f t="shared" si="25"/>
        <v>TZ BelBasisISDN30 eerste aansluitingVVE nieuwe aanleg</v>
      </c>
      <c r="C41" s="133" t="s">
        <v>472</v>
      </c>
      <c r="D41" s="133" t="s">
        <v>869</v>
      </c>
      <c r="E41" s="133"/>
      <c r="F41" s="133" t="s">
        <v>4</v>
      </c>
      <c r="G41" s="133" t="s">
        <v>458</v>
      </c>
      <c r="H41" s="133" t="str">
        <f t="shared" si="26"/>
        <v>ISDN30 eerste aansluitingVVA</v>
      </c>
      <c r="I41" s="120" t="str">
        <f t="shared" si="27"/>
        <v>ISDN30 eerste aansluitingVVE nieuwe aanleg</v>
      </c>
      <c r="J41" s="493" t="str">
        <f>IF(D41="","",INDEX(Mapping!$H:$H,MATCH($H41,Mapping!$B:$B,0)))</f>
        <v>ISDN30 eerste aansluitingVVA</v>
      </c>
      <c r="K41" s="494" t="str">
        <f>IF(D41="","",INDEX(Mapping!$H:$H,MATCH($I41,Mapping!$B:$B,0)))</f>
        <v>ISDN30 eerste aansluitingVVE nieuwe aanleg</v>
      </c>
      <c r="L41" s="649">
        <f>MATCH(C41&amp;D41&amp;E41,'Tarieven ZM'!$B:$B,0)</f>
        <v>31</v>
      </c>
      <c r="M41" s="133">
        <f>INDEX('Tarieven ZM'!$F:$F,'Rekenblad Aansluiting'!$L41)</f>
        <v>100</v>
      </c>
      <c r="N41" s="133">
        <f>INDEX('Tarieven ZM'!$G:$H,'Rekenblad Aansluiting'!$L41,MATCH($G41,'Tarieven ZM'!$G$4:$H$4))</f>
        <v>100</v>
      </c>
      <c r="O41" s="136">
        <f>M41+N41/Parameters!$B$9</f>
        <v>102.77777777777777</v>
      </c>
      <c r="P41" s="495">
        <f>IF('Rekenblad Aansluiting'!D41="",0,INDEX('inkoop aansluitingen obv ULL'!E:E,MATCH(K41,'inkoop aansluitingen obv ULL'!B:B,0)))</f>
        <v>18.738178527777777</v>
      </c>
      <c r="Q41" s="142">
        <f>IF('Rekenblad Aansluiting'!D41="",0,INDEX('inkoop aansluitingen obv ULL'!F:F,MATCH(K41,'inkoop aansluitingen obv ULL'!B:B,0)))</f>
        <v>153.78</v>
      </c>
      <c r="R41" s="136">
        <f>P41+Q41/'Parameters ULL'!$E$10</f>
        <v>23.009845194444445</v>
      </c>
      <c r="S41" s="138">
        <f>IF(RIGHT(C41,2)="CM",O41*MAX(Parameters!$B$2:$B$4),O41*Parameters!$B$3)</f>
        <v>10.277777777777779</v>
      </c>
      <c r="T41" s="142">
        <f>IF(RIGHT(C41,2)="CM",0,IF(LEFT(C41,2)="TZ",(('Vergoedingen grondslag'!$F$20+'Vergoedingen grondslag'!$I$20+'Vergoedingen grondslag'!$L$20+'Vergoedingen grondslag'!$O$20)*(M41)+('Vergoedingen grondslag'!$O$20*'Rekenblad Aansluiting'!$N41+'Vergoedingen grondslag'!$R$20+'Vergoedingen grondslag'!$U$20)/Parameters!$B$9),(('Vergoedingen grondslag'!$F$11+'Vergoedingen grondslag'!$I$11+'Vergoedingen grondslag'!$L$11+'Vergoedingen grondslag'!$O$11)*(M41))+('Vergoedingen grondslag'!$O$11*'Rekenblad Aansluiting'!$N41+'Vergoedingen grondslag'!$R$11+'Vergoedingen grondslag'!$U$11+'Vergoedingen grondslag'!$X$11)/36))</f>
        <v>4.0558333333333332</v>
      </c>
      <c r="U41" s="142">
        <f>M41*Parameters!$B$12</f>
        <v>0</v>
      </c>
      <c r="V41" s="136">
        <f t="shared" si="28"/>
        <v>14.333611111111111</v>
      </c>
      <c r="W41" s="142">
        <f t="shared" si="29"/>
        <v>37.343456305555556</v>
      </c>
      <c r="X41" s="138">
        <f t="shared" si="30"/>
        <v>65.434321472222223</v>
      </c>
      <c r="Y41" s="145">
        <f t="shared" si="18"/>
        <v>0.63665826297297301</v>
      </c>
      <c r="Z41" s="120" t="b">
        <f t="shared" si="31"/>
        <v>0</v>
      </c>
      <c r="AA41" s="331" t="s">
        <v>868</v>
      </c>
      <c r="AB41" s="4">
        <v>0</v>
      </c>
      <c r="AD41" s="445">
        <f>IF(RIGHT(C41,2)="CM",M41*MAX(Parameters!$B$2:$B$4),M41*Parameters!$B$3)</f>
        <v>10</v>
      </c>
      <c r="AE41" s="149">
        <f>IF(RIGHT(C41,2)="CM",0,IF(LEFT(C41,2)="TZ",(('Vergoedingen grondslag'!$F$20+'Vergoedingen grondslag'!$I$20+'Vergoedingen grondslag'!$L$20+'Vergoedingen grondslag'!$O$20)*(M41)+('Vergoedingen grondslag'!$O$20*'Rekenblad Aansluiting'!$N41*0+'Vergoedingen grondslag'!$R$20+'Vergoedingen grondslag'!$U$20)/Parameters!$B$9),(('Vergoedingen grondslag'!$F$11+'Vergoedingen grondslag'!$I$11+'Vergoedingen grondslag'!$L$11+'Vergoedingen grondslag'!$O$11)*(M41))+('Vergoedingen grondslag'!$O$11*'Rekenblad Aansluiting'!$N41*0+'Vergoedingen grondslag'!$R$11+'Vergoedingen grondslag'!$U$11+'Vergoedingen grondslag'!$X$11)/36))</f>
        <v>4.0280555555555555</v>
      </c>
      <c r="AF41" s="652">
        <f>M41*Parameters!$B$12</f>
        <v>0</v>
      </c>
      <c r="AG41" s="774">
        <f t="shared" si="19"/>
        <v>14.028055555555556</v>
      </c>
      <c r="AH41" s="775">
        <f t="shared" si="20"/>
        <v>32.76623408333333</v>
      </c>
      <c r="AI41" s="447">
        <f t="shared" si="21"/>
        <v>67.23376591666667</v>
      </c>
      <c r="AJ41" s="173">
        <f t="shared" si="22"/>
        <v>0.67233765916666666</v>
      </c>
      <c r="AK41" s="120" t="b">
        <f t="shared" si="23"/>
        <v>0</v>
      </c>
    </row>
    <row r="42" spans="1:37" ht="14.4">
      <c r="A42" s="182" t="str">
        <f>C42&amp;D42&amp;E42&amp;G42</f>
        <v>TZ BelBasisISDN30 volgende aansluitingVVE nieuwe aanleg</v>
      </c>
      <c r="B42" s="120" t="str">
        <f>C42&amp;D42&amp;G42</f>
        <v>TZ BelBasisISDN30 volgende aansluitingVVE nieuwe aanleg</v>
      </c>
      <c r="C42" s="133" t="s">
        <v>472</v>
      </c>
      <c r="D42" s="133" t="s">
        <v>870</v>
      </c>
      <c r="E42" s="133"/>
      <c r="F42" s="133" t="s">
        <v>4</v>
      </c>
      <c r="G42" s="133" t="s">
        <v>458</v>
      </c>
      <c r="H42" s="133" t="str">
        <f>D42&amp;F42</f>
        <v>ISDN30 volgende aansluitingVVA</v>
      </c>
      <c r="I42" s="120" t="str">
        <f>D42&amp;G42</f>
        <v>ISDN30 volgende aansluitingVVE nieuwe aanleg</v>
      </c>
      <c r="J42" s="493" t="str">
        <f>IF(D42="","",INDEX(Mapping!$H:$H,MATCH($H42,Mapping!$B:$B,0)))</f>
        <v>ISDN30 volgende aansluitingVVA</v>
      </c>
      <c r="K42" s="494" t="str">
        <f>IF(D42="","",INDEX(Mapping!$H:$H,MATCH($I42,Mapping!$B:$B,0)))</f>
        <v>ISDN30 volgende aansluitingVVE nieuwe aanleg</v>
      </c>
      <c r="L42" s="649">
        <f>MATCH(C42&amp;D42&amp;E42,'Tarieven ZM'!$B:$B,0)</f>
        <v>32</v>
      </c>
      <c r="M42" s="133">
        <f>INDEX('Tarieven ZM'!$F:$F,'Rekenblad Aansluiting'!$L42)</f>
        <v>100</v>
      </c>
      <c r="N42" s="133">
        <f>INDEX('Tarieven ZM'!$G:$H,'Rekenblad Aansluiting'!$L42,MATCH($G42,'Tarieven ZM'!$G$4:$H$4))</f>
        <v>100</v>
      </c>
      <c r="O42" s="136">
        <f>M42+N42/Parameters!$B$9</f>
        <v>102.77777777777777</v>
      </c>
      <c r="P42" s="495">
        <f>IF('Rekenblad Aansluiting'!D42="",0,INDEX('inkoop aansluitingen obv ULL'!E:E,MATCH(K42,'inkoop aansluitingen obv ULL'!B:B,0)))</f>
        <v>18.738178527777777</v>
      </c>
      <c r="Q42" s="142">
        <f>IF('Rekenblad Aansluiting'!D42="",0,INDEX('inkoop aansluitingen obv ULL'!F:F,MATCH(K42,'inkoop aansluitingen obv ULL'!B:B,0)))</f>
        <v>153.78</v>
      </c>
      <c r="R42" s="136">
        <f>P42+Q42/'Parameters ULL'!$E$10</f>
        <v>23.009845194444445</v>
      </c>
      <c r="S42" s="138">
        <f>IF(RIGHT(C42,2)="CM",O42*MAX(Parameters!$B$2:$B$4),O42*Parameters!$B$3)</f>
        <v>10.277777777777779</v>
      </c>
      <c r="T42" s="142">
        <f>IF(RIGHT(C42,2)="CM",0,IF(LEFT(C42,2)="TZ",(('Vergoedingen grondslag'!$F$20+'Vergoedingen grondslag'!$I$20+'Vergoedingen grondslag'!$L$20+'Vergoedingen grondslag'!$O$20)*(M42)+('Vergoedingen grondslag'!$O$20*'Rekenblad Aansluiting'!$N42+'Vergoedingen grondslag'!$R$20+'Vergoedingen grondslag'!$U$20)/Parameters!$B$9),(('Vergoedingen grondslag'!$F$11+'Vergoedingen grondslag'!$I$11+'Vergoedingen grondslag'!$L$11+'Vergoedingen grondslag'!$O$11)*(M42))+('Vergoedingen grondslag'!$O$11*'Rekenblad Aansluiting'!$N42+'Vergoedingen grondslag'!$R$11+'Vergoedingen grondslag'!$U$11+'Vergoedingen grondslag'!$X$11)/36))</f>
        <v>4.0558333333333332</v>
      </c>
      <c r="U42" s="142">
        <f>M42*Parameters!$B$12</f>
        <v>0</v>
      </c>
      <c r="V42" s="136">
        <f>SUM(S42:U42)</f>
        <v>14.333611111111111</v>
      </c>
      <c r="W42" s="142">
        <f>R42+V42</f>
        <v>37.343456305555556</v>
      </c>
      <c r="X42" s="138">
        <f>O42-W42</f>
        <v>65.434321472222223</v>
      </c>
      <c r="Y42" s="145">
        <f>X42/O42</f>
        <v>0.63665826297297301</v>
      </c>
      <c r="Z42" s="120" t="b">
        <f>Y42&lt;0</f>
        <v>0</v>
      </c>
      <c r="AA42" s="331" t="s">
        <v>868</v>
      </c>
      <c r="AB42" s="4">
        <v>0</v>
      </c>
      <c r="AD42" s="445">
        <f>IF(RIGHT(C42,2)="CM",M42*MAX(Parameters!$B$2:$B$4),M42*Parameters!$B$3)</f>
        <v>10</v>
      </c>
      <c r="AE42" s="149">
        <f>IF(RIGHT(C42,2)="CM",0,IF(LEFT(C42,2)="TZ",(('Vergoedingen grondslag'!$F$20+'Vergoedingen grondslag'!$I$20+'Vergoedingen grondslag'!$L$20+'Vergoedingen grondslag'!$O$20)*(M42)+('Vergoedingen grondslag'!$O$20*'Rekenblad Aansluiting'!$N42*0+'Vergoedingen grondslag'!$R$20+'Vergoedingen grondslag'!$U$20)/Parameters!$B$9),(('Vergoedingen grondslag'!$F$11+'Vergoedingen grondslag'!$I$11+'Vergoedingen grondslag'!$L$11+'Vergoedingen grondslag'!$O$11)*(M42))+('Vergoedingen grondslag'!$O$11*'Rekenblad Aansluiting'!$N42*0+'Vergoedingen grondslag'!$R$11+'Vergoedingen grondslag'!$U$11+'Vergoedingen grondslag'!$X$11)/36))</f>
        <v>4.0280555555555555</v>
      </c>
      <c r="AF42" s="652">
        <f>M42*Parameters!$B$12</f>
        <v>0</v>
      </c>
      <c r="AG42" s="774">
        <f t="shared" si="19"/>
        <v>14.028055555555556</v>
      </c>
      <c r="AH42" s="775">
        <f t="shared" si="20"/>
        <v>32.76623408333333</v>
      </c>
      <c r="AI42" s="447">
        <f t="shared" si="21"/>
        <v>67.23376591666667</v>
      </c>
      <c r="AJ42" s="173">
        <f t="shared" si="22"/>
        <v>0.67233765916666666</v>
      </c>
      <c r="AK42" s="120" t="b">
        <f t="shared" si="23"/>
        <v>0</v>
      </c>
    </row>
    <row r="43" spans="1:37" ht="14.4">
      <c r="A43" s="182" t="str">
        <f t="shared" si="24"/>
        <v>TZ BelBasisCityPhoneVVE nieuwe aanleg</v>
      </c>
      <c r="B43" s="120" t="str">
        <f t="shared" si="25"/>
        <v>TZ BelBasisCityPhoneVVE nieuwe aanleg</v>
      </c>
      <c r="C43" s="133" t="s">
        <v>472</v>
      </c>
      <c r="D43" s="133" t="s">
        <v>470</v>
      </c>
      <c r="E43" s="133"/>
      <c r="F43" s="133" t="s">
        <v>4</v>
      </c>
      <c r="G43" s="133" t="s">
        <v>458</v>
      </c>
      <c r="H43" s="133" t="str">
        <f t="shared" si="26"/>
        <v>CityPhoneVVA</v>
      </c>
      <c r="I43" s="120" t="str">
        <f t="shared" si="27"/>
        <v>CityPhoneVVE nieuwe aanleg</v>
      </c>
      <c r="J43" s="493" t="str">
        <f>IF(D43="","",INDEX(Mapping!$H:$H,MATCH($H43,Mapping!$B:$B,0)))</f>
        <v>CityPhoneVVA</v>
      </c>
      <c r="K43" s="494" t="str">
        <f>IF(D43="","",INDEX(Mapping!$H:$H,MATCH($I43,Mapping!$B:$B,0)))</f>
        <v>CityPhoneVVE nieuwe aanleg</v>
      </c>
      <c r="L43" s="649">
        <f>MATCH(C43&amp;D43&amp;E43,'Tarieven ZM'!$B:$B,0)</f>
        <v>33</v>
      </c>
      <c r="M43" s="133">
        <f>INDEX('Tarieven ZM'!$F:$F,'Rekenblad Aansluiting'!$L43)</f>
        <v>100</v>
      </c>
      <c r="N43" s="133">
        <f>INDEX('Tarieven ZM'!$G:$H,'Rekenblad Aansluiting'!$L43,MATCH($G43,'Tarieven ZM'!$G$4:$H$4))</f>
        <v>100</v>
      </c>
      <c r="O43" s="136">
        <f>M43+N43/Parameters!$B$9</f>
        <v>102.77777777777777</v>
      </c>
      <c r="P43" s="495">
        <f>IF('Rekenblad Aansluiting'!D43="",0,INDEX('inkoop aansluitingen obv ULL'!E:E,MATCH(K43,'inkoop aansluitingen obv ULL'!B:B,0)))</f>
        <v>0.42000000000000004</v>
      </c>
      <c r="Q43" s="142">
        <f>IF('Rekenblad Aansluiting'!D43="",0,INDEX('inkoop aansluitingen obv ULL'!F:F,MATCH(K43,'inkoop aansluitingen obv ULL'!B:B,0)))</f>
        <v>3.6</v>
      </c>
      <c r="R43" s="136">
        <f>P43+Q43/'Parameters ULL'!$E$10</f>
        <v>0.52</v>
      </c>
      <c r="S43" s="138">
        <f>IF(RIGHT(C43,2)="CM",O43*MAX(Parameters!$B$2:$B$4),O43*Parameters!$B$3)</f>
        <v>10.277777777777779</v>
      </c>
      <c r="T43" s="142">
        <f>IF(RIGHT(C43,2)="CM",0,IF(LEFT(C43,2)="TZ",(('Vergoedingen grondslag'!$F$20+'Vergoedingen grondslag'!$I$20+'Vergoedingen grondslag'!$L$20+'Vergoedingen grondslag'!$O$20)*(M43)+('Vergoedingen grondslag'!$O$20*'Rekenblad Aansluiting'!$N43+'Vergoedingen grondslag'!$R$20+'Vergoedingen grondslag'!$U$20)/Parameters!$B$9),(('Vergoedingen grondslag'!$F$11+'Vergoedingen grondslag'!$I$11+'Vergoedingen grondslag'!$L$11+'Vergoedingen grondslag'!$O$11)*(M43))+('Vergoedingen grondslag'!$O$11*'Rekenblad Aansluiting'!$N43+'Vergoedingen grondslag'!$R$11+'Vergoedingen grondslag'!$U$11+'Vergoedingen grondslag'!$X$11)/36))</f>
        <v>4.0558333333333332</v>
      </c>
      <c r="U43" s="142">
        <f>M43*Parameters!$B$12</f>
        <v>0</v>
      </c>
      <c r="V43" s="136">
        <f t="shared" si="28"/>
        <v>14.333611111111111</v>
      </c>
      <c r="W43" s="142">
        <f t="shared" si="29"/>
        <v>14.85361111111111</v>
      </c>
      <c r="X43" s="138">
        <f t="shared" si="30"/>
        <v>87.924166666666665</v>
      </c>
      <c r="Y43" s="145">
        <f t="shared" si="18"/>
        <v>0.85547837837837837</v>
      </c>
      <c r="Z43" s="120" t="b">
        <f t="shared" si="31"/>
        <v>0</v>
      </c>
      <c r="AA43" s="331" t="s">
        <v>868</v>
      </c>
      <c r="AB43" s="4">
        <v>0</v>
      </c>
      <c r="AD43" s="445">
        <f>IF(RIGHT(C43,2)="CM",M43*MAX(Parameters!$B$2:$B$4),M43*Parameters!$B$3)</f>
        <v>10</v>
      </c>
      <c r="AE43" s="149">
        <f>IF(RIGHT(C43,2)="CM",0,IF(LEFT(C43,2)="TZ",(('Vergoedingen grondslag'!$F$20+'Vergoedingen grondslag'!$I$20+'Vergoedingen grondslag'!$L$20+'Vergoedingen grondslag'!$O$20)*(M43)+('Vergoedingen grondslag'!$O$20*'Rekenblad Aansluiting'!$N43*0+'Vergoedingen grondslag'!$R$20+'Vergoedingen grondslag'!$U$20)/Parameters!$B$9),(('Vergoedingen grondslag'!$F$11+'Vergoedingen grondslag'!$I$11+'Vergoedingen grondslag'!$L$11+'Vergoedingen grondslag'!$O$11)*(M43))+('Vergoedingen grondslag'!$O$11*'Rekenblad Aansluiting'!$N43*0+'Vergoedingen grondslag'!$R$11+'Vergoedingen grondslag'!$U$11+'Vergoedingen grondslag'!$X$11)/36))</f>
        <v>4.0280555555555555</v>
      </c>
      <c r="AF43" s="652">
        <f>M43*Parameters!$B$12</f>
        <v>0</v>
      </c>
      <c r="AG43" s="774">
        <f t="shared" si="19"/>
        <v>14.028055555555556</v>
      </c>
      <c r="AH43" s="775">
        <f t="shared" si="20"/>
        <v>14.448055555555555</v>
      </c>
      <c r="AI43" s="447">
        <f t="shared" si="21"/>
        <v>85.551944444444445</v>
      </c>
      <c r="AJ43" s="173">
        <f t="shared" si="22"/>
        <v>0.8555194444444445</v>
      </c>
      <c r="AK43" s="120" t="b">
        <f t="shared" si="23"/>
        <v>0</v>
      </c>
    </row>
    <row r="44" spans="1:37" ht="14.4">
      <c r="A44" s="182" t="str">
        <f t="shared" si="24"/>
        <v>KPN Zakelijk BelBasisPSTNVVE overstap</v>
      </c>
      <c r="B44" s="120" t="str">
        <f t="shared" si="25"/>
        <v>KPN Zakelijk BelBasisPSTNVVE overstap</v>
      </c>
      <c r="C44" s="133" t="s">
        <v>471</v>
      </c>
      <c r="D44" s="133" t="s">
        <v>463</v>
      </c>
      <c r="E44" s="133"/>
      <c r="F44" s="133" t="s">
        <v>4</v>
      </c>
      <c r="G44" s="133" t="s">
        <v>459</v>
      </c>
      <c r="H44" s="133" t="str">
        <f>D44&amp;F44</f>
        <v>PSTNVVA</v>
      </c>
      <c r="I44" s="120" t="str">
        <f>D44&amp;G44</f>
        <v>PSTNVVE overstap</v>
      </c>
      <c r="J44" s="493" t="str">
        <f>IF(D44="","",INDEX(Mapping!$H:$H,MATCH($H44,Mapping!$B:$B,0)))</f>
        <v>PSTNVVA</v>
      </c>
      <c r="K44" s="494" t="str">
        <f>IF(D44="","",INDEX(Mapping!$H:$H,MATCH($I44,Mapping!$B:$B,0)))</f>
        <v>PSTNVVE overstap</v>
      </c>
      <c r="L44" s="649">
        <f>MATCH(C44&amp;D44&amp;E44,'Tarieven ZM'!$B:$B,0)</f>
        <v>18</v>
      </c>
      <c r="M44" s="133">
        <f>INDEX('Tarieven ZM'!$F:$F,'Rekenblad Aansluiting'!$L44)</f>
        <v>100</v>
      </c>
      <c r="N44" s="133">
        <f>INDEX('Tarieven ZM'!$G:$H,'Rekenblad Aansluiting'!$L44,MATCH($G44,'Tarieven ZM'!$G$4:$H$4))</f>
        <v>100</v>
      </c>
      <c r="O44" s="136">
        <f>M44+N44/Parameters!$B$9</f>
        <v>102.77777777777777</v>
      </c>
      <c r="P44" s="495">
        <f>IF('Rekenblad Aansluiting'!D44="",0,INDEX('inkoop aansluitingen obv ULL'!E:E,MATCH(K44,'inkoop aansluitingen obv ULL'!B:B,0)))</f>
        <v>9.2350886055555534</v>
      </c>
      <c r="Q44" s="142">
        <f>IF('Rekenblad Aansluiting'!D44="",0,INDEX('inkoop aansluitingen obv ULL'!F:F,MATCH(K44,'inkoop aansluitingen obv ULL'!B:B,0)))</f>
        <v>19.29</v>
      </c>
      <c r="R44" s="136">
        <f>P44+Q44/'Parameters ULL'!$E$10</f>
        <v>9.7709219388888862</v>
      </c>
      <c r="S44" s="138">
        <f>IF(RIGHT(C44,2)="CM",O44*MAX(Parameters!$B$2:$B$4),O44*Parameters!$B$3)</f>
        <v>10.277777777777779</v>
      </c>
      <c r="T44" s="142">
        <f>IF(RIGHT(C44,2)="CM",0,IF(LEFT(C44,2)="TZ",(('Vergoedingen grondslag'!$F$20+'Vergoedingen grondslag'!$I$20+'Vergoedingen grondslag'!$L$20+'Vergoedingen grondslag'!$O$20)*(M44)+('Vergoedingen grondslag'!$O$20*'Rekenblad Aansluiting'!$N44+'Vergoedingen grondslag'!$R$20+'Vergoedingen grondslag'!$U$20)/Parameters!$B$9),(('Vergoedingen grondslag'!$F$11+'Vergoedingen grondslag'!$I$11+'Vergoedingen grondslag'!$L$11+'Vergoedingen grondslag'!$O$11)*(M44))+('Vergoedingen grondslag'!$O$11*'Rekenblad Aansluiting'!$N44+'Vergoedingen grondslag'!$R$11+'Vergoedingen grondslag'!$U$11+'Vergoedingen grondslag'!$X$11)/36))</f>
        <v>4.1111111111111107</v>
      </c>
      <c r="U44" s="142">
        <f>M44*Parameters!$B$12</f>
        <v>0</v>
      </c>
      <c r="V44" s="136">
        <f t="shared" si="28"/>
        <v>14.388888888888889</v>
      </c>
      <c r="W44" s="142">
        <f t="shared" si="29"/>
        <v>24.159810827777775</v>
      </c>
      <c r="X44" s="138">
        <f t="shared" si="30"/>
        <v>78.617966949999996</v>
      </c>
      <c r="Y44" s="145">
        <f t="shared" si="18"/>
        <v>0.76493157032432435</v>
      </c>
      <c r="Z44" s="120" t="b">
        <f t="shared" si="31"/>
        <v>0</v>
      </c>
      <c r="AA44" s="331" t="s">
        <v>868</v>
      </c>
      <c r="AB44" s="4">
        <v>0</v>
      </c>
      <c r="AD44" s="445">
        <f>IF(RIGHT(C44,2)="CM",M44*MAX(Parameters!$B$2:$B$4),M44*Parameters!$B$3)</f>
        <v>10</v>
      </c>
      <c r="AE44" s="149">
        <f>IF(RIGHT(C44,2)="CM",0,IF(LEFT(C44,2)="TZ",(('Vergoedingen grondslag'!$F$20+'Vergoedingen grondslag'!$I$20+'Vergoedingen grondslag'!$L$20+'Vergoedingen grondslag'!$O$20)*(M44)+('Vergoedingen grondslag'!$O$20*'Rekenblad Aansluiting'!$N44*0+'Vergoedingen grondslag'!$R$20+'Vergoedingen grondslag'!$U$20)/Parameters!$B$9),(('Vergoedingen grondslag'!$F$11+'Vergoedingen grondslag'!$I$11+'Vergoedingen grondslag'!$L$11+'Vergoedingen grondslag'!$O$11)*(M44))+('Vergoedingen grondslag'!$O$11*'Rekenblad Aansluiting'!$N44*0+'Vergoedingen grondslag'!$R$11+'Vergoedingen grondslag'!$U$11+'Vergoedingen grondslag'!$X$11)/36))</f>
        <v>4.083333333333333</v>
      </c>
      <c r="AF44" s="652">
        <f>M44*Parameters!$B$12</f>
        <v>0</v>
      </c>
      <c r="AG44" s="774">
        <f t="shared" si="19"/>
        <v>14.083333333333332</v>
      </c>
      <c r="AH44" s="775">
        <f t="shared" si="20"/>
        <v>23.318421938888886</v>
      </c>
      <c r="AI44" s="447">
        <f t="shared" si="21"/>
        <v>76.681578061111111</v>
      </c>
      <c r="AJ44" s="173">
        <f t="shared" si="22"/>
        <v>0.76681578061111111</v>
      </c>
      <c r="AK44" s="120" t="b">
        <f t="shared" si="23"/>
        <v>0</v>
      </c>
    </row>
    <row r="45" spans="1:37" ht="14.4">
      <c r="A45" s="182" t="str">
        <f t="shared" si="24"/>
        <v>KPN Zakelijk BelBasisISDN1VVE overstap</v>
      </c>
      <c r="B45" s="120" t="str">
        <f t="shared" si="25"/>
        <v>KPN Zakelijk BelBasisISDN1VVE overstap</v>
      </c>
      <c r="C45" s="133" t="s">
        <v>471</v>
      </c>
      <c r="D45" s="133" t="s">
        <v>464</v>
      </c>
      <c r="E45" s="133"/>
      <c r="F45" s="133" t="s">
        <v>4</v>
      </c>
      <c r="G45" s="133" t="s">
        <v>459</v>
      </c>
      <c r="H45" s="133" t="str">
        <f t="shared" ref="H45:H59" si="32">D45&amp;F45</f>
        <v>ISDN1VVA</v>
      </c>
      <c r="I45" s="120" t="str">
        <f t="shared" ref="I45:I59" si="33">D45&amp;G45</f>
        <v>ISDN1VVE overstap</v>
      </c>
      <c r="J45" s="493" t="str">
        <f>IF(D45="","",INDEX(Mapping!$H:$H,MATCH($H45,Mapping!$B:$B,0)))</f>
        <v>ISDN1VVA</v>
      </c>
      <c r="K45" s="494" t="str">
        <f>IF(D45="","",INDEX(Mapping!$H:$H,MATCH($I45,Mapping!$B:$B,0)))</f>
        <v>ISDN1VVE overstap</v>
      </c>
      <c r="L45" s="649">
        <f>MATCH(C45&amp;D45&amp;E45,'Tarieven ZM'!$B:$B,0)</f>
        <v>19</v>
      </c>
      <c r="M45" s="133">
        <f>INDEX('Tarieven ZM'!$F:$F,'Rekenblad Aansluiting'!$L45)</f>
        <v>100</v>
      </c>
      <c r="N45" s="133">
        <f>INDEX('Tarieven ZM'!$G:$H,'Rekenblad Aansluiting'!$L45,MATCH($G45,'Tarieven ZM'!$G$4:$H$4))</f>
        <v>100</v>
      </c>
      <c r="O45" s="136">
        <f>M45+N45/Parameters!$B$9</f>
        <v>102.77777777777777</v>
      </c>
      <c r="P45" s="495">
        <f>IF('Rekenblad Aansluiting'!D45="",0,INDEX('inkoop aansluitingen obv ULL'!E:E,MATCH(K45,'inkoop aansluitingen obv ULL'!B:B,0)))</f>
        <v>9.2350886055555534</v>
      </c>
      <c r="Q45" s="142">
        <f>IF('Rekenblad Aansluiting'!D45="",0,INDEX('inkoop aansluitingen obv ULL'!F:F,MATCH(K45,'inkoop aansluitingen obv ULL'!B:B,0)))</f>
        <v>19.29</v>
      </c>
      <c r="R45" s="136">
        <f>P45+Q45/'Parameters ULL'!$E$10</f>
        <v>9.7709219388888862</v>
      </c>
      <c r="S45" s="138">
        <f>IF(RIGHT(C45,2)="CM",O45*MAX(Parameters!$B$2:$B$4),O45*Parameters!$B$3)</f>
        <v>10.277777777777779</v>
      </c>
      <c r="T45" s="142">
        <f>IF(RIGHT(C45,2)="CM",0,IF(LEFT(C45,2)="TZ",(('Vergoedingen grondslag'!$F$20+'Vergoedingen grondslag'!$I$20+'Vergoedingen grondslag'!$L$20+'Vergoedingen grondslag'!$O$20)*(M45)+('Vergoedingen grondslag'!$O$20*'Rekenblad Aansluiting'!$N45+'Vergoedingen grondslag'!$R$20+'Vergoedingen grondslag'!$U$20)/Parameters!$B$9),(('Vergoedingen grondslag'!$F$11+'Vergoedingen grondslag'!$I$11+'Vergoedingen grondslag'!$L$11+'Vergoedingen grondslag'!$O$11)*(M45))+('Vergoedingen grondslag'!$O$11*'Rekenblad Aansluiting'!$N45+'Vergoedingen grondslag'!$R$11+'Vergoedingen grondslag'!$U$11+'Vergoedingen grondslag'!$X$11)/36))</f>
        <v>4.1111111111111107</v>
      </c>
      <c r="U45" s="142">
        <f>M45*Parameters!$B$12</f>
        <v>0</v>
      </c>
      <c r="V45" s="136">
        <f t="shared" si="28"/>
        <v>14.388888888888889</v>
      </c>
      <c r="W45" s="142">
        <f t="shared" si="29"/>
        <v>24.159810827777775</v>
      </c>
      <c r="X45" s="138">
        <f t="shared" si="30"/>
        <v>78.617966949999996</v>
      </c>
      <c r="Y45" s="145">
        <f t="shared" si="18"/>
        <v>0.76493157032432435</v>
      </c>
      <c r="Z45" s="120" t="b">
        <f t="shared" si="31"/>
        <v>0</v>
      </c>
      <c r="AA45" s="331" t="s">
        <v>868</v>
      </c>
      <c r="AB45" s="4">
        <v>0</v>
      </c>
      <c r="AD45" s="445">
        <f>IF(RIGHT(C45,2)="CM",M45*MAX(Parameters!$B$2:$B$4),M45*Parameters!$B$3)</f>
        <v>10</v>
      </c>
      <c r="AE45" s="149">
        <f>IF(RIGHT(C45,2)="CM",0,IF(LEFT(C45,2)="TZ",(('Vergoedingen grondslag'!$F$20+'Vergoedingen grondslag'!$I$20+'Vergoedingen grondslag'!$L$20+'Vergoedingen grondslag'!$O$20)*(M45)+('Vergoedingen grondslag'!$O$20*'Rekenblad Aansluiting'!$N45*0+'Vergoedingen grondslag'!$R$20+'Vergoedingen grondslag'!$U$20)/Parameters!$B$9),(('Vergoedingen grondslag'!$F$11+'Vergoedingen grondslag'!$I$11+'Vergoedingen grondslag'!$L$11+'Vergoedingen grondslag'!$O$11)*(M45))+('Vergoedingen grondslag'!$O$11*'Rekenblad Aansluiting'!$N45*0+'Vergoedingen grondslag'!$R$11+'Vergoedingen grondslag'!$U$11+'Vergoedingen grondslag'!$X$11)/36))</f>
        <v>4.083333333333333</v>
      </c>
      <c r="AF45" s="652">
        <f>M45*Parameters!$B$12</f>
        <v>0</v>
      </c>
      <c r="AG45" s="774">
        <f t="shared" si="19"/>
        <v>14.083333333333332</v>
      </c>
      <c r="AH45" s="775">
        <f t="shared" si="20"/>
        <v>23.318421938888886</v>
      </c>
      <c r="AI45" s="447">
        <f t="shared" si="21"/>
        <v>76.681578061111111</v>
      </c>
      <c r="AJ45" s="173">
        <f t="shared" si="22"/>
        <v>0.76681578061111111</v>
      </c>
      <c r="AK45" s="120" t="b">
        <f t="shared" si="23"/>
        <v>0</v>
      </c>
    </row>
    <row r="46" spans="1:37" ht="14.4">
      <c r="A46" s="182" t="str">
        <f t="shared" si="24"/>
        <v>KPN Zakelijk BelBasisISDN2VVE overstap</v>
      </c>
      <c r="B46" s="120" t="str">
        <f t="shared" si="25"/>
        <v>KPN Zakelijk BelBasisISDN2VVE overstap</v>
      </c>
      <c r="C46" s="133" t="s">
        <v>471</v>
      </c>
      <c r="D46" s="133" t="s">
        <v>465</v>
      </c>
      <c r="E46" s="133"/>
      <c r="F46" s="133" t="s">
        <v>4</v>
      </c>
      <c r="G46" s="133" t="s">
        <v>459</v>
      </c>
      <c r="H46" s="133" t="str">
        <f t="shared" si="32"/>
        <v>ISDN2VVA</v>
      </c>
      <c r="I46" s="120" t="str">
        <f t="shared" si="33"/>
        <v>ISDN2VVE overstap</v>
      </c>
      <c r="J46" s="493" t="str">
        <f>IF(D46="","",INDEX(Mapping!$H:$H,MATCH($H46,Mapping!$B:$B,0)))</f>
        <v>ISDN2VVA</v>
      </c>
      <c r="K46" s="494" t="str">
        <f>IF(D46="","",INDEX(Mapping!$H:$H,MATCH($I46,Mapping!$B:$B,0)))</f>
        <v>ISDN2VVE overstap</v>
      </c>
      <c r="L46" s="649">
        <f>MATCH(C46&amp;D46&amp;E46,'Tarieven ZM'!$B:$B,0)</f>
        <v>20</v>
      </c>
      <c r="M46" s="133">
        <f>INDEX('Tarieven ZM'!$F:$F,'Rekenblad Aansluiting'!$L46)</f>
        <v>100</v>
      </c>
      <c r="N46" s="133">
        <f>INDEX('Tarieven ZM'!$G:$H,'Rekenblad Aansluiting'!$L46,MATCH($G46,'Tarieven ZM'!$G$4:$H$4))</f>
        <v>100</v>
      </c>
      <c r="O46" s="136">
        <f>M46+N46/Parameters!$B$9</f>
        <v>102.77777777777777</v>
      </c>
      <c r="P46" s="495">
        <f>IF('Rekenblad Aansluiting'!D46="",0,INDEX('inkoop aansluitingen obv ULL'!E:E,MATCH(K46,'inkoop aansluitingen obv ULL'!B:B,0)))</f>
        <v>9.2350886055555534</v>
      </c>
      <c r="Q46" s="142">
        <f>IF('Rekenblad Aansluiting'!D46="",0,INDEX('inkoop aansluitingen obv ULL'!F:F,MATCH(K46,'inkoop aansluitingen obv ULL'!B:B,0)))</f>
        <v>19.29</v>
      </c>
      <c r="R46" s="136">
        <f>P46+Q46/'Parameters ULL'!$E$10</f>
        <v>9.7709219388888862</v>
      </c>
      <c r="S46" s="138">
        <f>IF(RIGHT(C46,2)="CM",O46*MAX(Parameters!$B$2:$B$4),O46*Parameters!$B$3)</f>
        <v>10.277777777777779</v>
      </c>
      <c r="T46" s="142">
        <f>IF(RIGHT(C46,2)="CM",0,IF(LEFT(C46,2)="TZ",(('Vergoedingen grondslag'!$F$20+'Vergoedingen grondslag'!$I$20+'Vergoedingen grondslag'!$L$20+'Vergoedingen grondslag'!$O$20)*(M46)+('Vergoedingen grondslag'!$O$20*'Rekenblad Aansluiting'!$N46+'Vergoedingen grondslag'!$R$20+'Vergoedingen grondslag'!$U$20)/Parameters!$B$9),(('Vergoedingen grondslag'!$F$11+'Vergoedingen grondslag'!$I$11+'Vergoedingen grondslag'!$L$11+'Vergoedingen grondslag'!$O$11)*(M46))+('Vergoedingen grondslag'!$O$11*'Rekenblad Aansluiting'!$N46+'Vergoedingen grondslag'!$R$11+'Vergoedingen grondslag'!$U$11+'Vergoedingen grondslag'!$X$11)/36))</f>
        <v>4.1111111111111107</v>
      </c>
      <c r="U46" s="142">
        <f>M46*Parameters!$B$12</f>
        <v>0</v>
      </c>
      <c r="V46" s="136">
        <f t="shared" si="28"/>
        <v>14.388888888888889</v>
      </c>
      <c r="W46" s="142">
        <f t="shared" si="29"/>
        <v>24.159810827777775</v>
      </c>
      <c r="X46" s="138">
        <f t="shared" si="30"/>
        <v>78.617966949999996</v>
      </c>
      <c r="Y46" s="145">
        <f t="shared" si="18"/>
        <v>0.76493157032432435</v>
      </c>
      <c r="Z46" s="120" t="b">
        <f t="shared" si="31"/>
        <v>0</v>
      </c>
      <c r="AA46" s="331" t="s">
        <v>868</v>
      </c>
      <c r="AB46" s="4">
        <v>0</v>
      </c>
      <c r="AD46" s="445">
        <f>IF(RIGHT(C46,2)="CM",M46*MAX(Parameters!$B$2:$B$4),M46*Parameters!$B$3)</f>
        <v>10</v>
      </c>
      <c r="AE46" s="149">
        <f>IF(RIGHT(C46,2)="CM",0,IF(LEFT(C46,2)="TZ",(('Vergoedingen grondslag'!$F$20+'Vergoedingen grondslag'!$I$20+'Vergoedingen grondslag'!$L$20+'Vergoedingen grondslag'!$O$20)*(M46)+('Vergoedingen grondslag'!$O$20*'Rekenblad Aansluiting'!$N46*0+'Vergoedingen grondslag'!$R$20+'Vergoedingen grondslag'!$U$20)/Parameters!$B$9),(('Vergoedingen grondslag'!$F$11+'Vergoedingen grondslag'!$I$11+'Vergoedingen grondslag'!$L$11+'Vergoedingen grondslag'!$O$11)*(M46))+('Vergoedingen grondslag'!$O$11*'Rekenblad Aansluiting'!$N46*0+'Vergoedingen grondslag'!$R$11+'Vergoedingen grondslag'!$U$11+'Vergoedingen grondslag'!$X$11)/36))</f>
        <v>4.083333333333333</v>
      </c>
      <c r="AF46" s="652">
        <f>M46*Parameters!$B$12</f>
        <v>0</v>
      </c>
      <c r="AG46" s="774">
        <f t="shared" si="19"/>
        <v>14.083333333333332</v>
      </c>
      <c r="AH46" s="775">
        <f t="shared" si="20"/>
        <v>23.318421938888886</v>
      </c>
      <c r="AI46" s="447">
        <f t="shared" si="21"/>
        <v>76.681578061111111</v>
      </c>
      <c r="AJ46" s="173">
        <f t="shared" si="22"/>
        <v>0.76681578061111111</v>
      </c>
      <c r="AK46" s="120" t="b">
        <f t="shared" si="23"/>
        <v>0</v>
      </c>
    </row>
    <row r="47" spans="1:37" ht="14.4">
      <c r="A47" s="182" t="str">
        <f t="shared" si="24"/>
        <v>KPN Zakelijk BelBasisISDN15VVE overstap</v>
      </c>
      <c r="B47" s="120" t="str">
        <f t="shared" si="25"/>
        <v>KPN Zakelijk BelBasisISDN15VVE overstap</v>
      </c>
      <c r="C47" s="133" t="s">
        <v>471</v>
      </c>
      <c r="D47" s="133" t="s">
        <v>466</v>
      </c>
      <c r="E47" s="133"/>
      <c r="F47" s="133" t="s">
        <v>4</v>
      </c>
      <c r="G47" s="133" t="s">
        <v>459</v>
      </c>
      <c r="H47" s="133" t="str">
        <f t="shared" si="32"/>
        <v>ISDN15VVA</v>
      </c>
      <c r="I47" s="120" t="str">
        <f t="shared" si="33"/>
        <v>ISDN15VVE overstap</v>
      </c>
      <c r="J47" s="493" t="str">
        <f>IF(D47="","",INDEX(Mapping!$H:$H,MATCH($H47,Mapping!$B:$B,0)))</f>
        <v>ISDN15VVA</v>
      </c>
      <c r="K47" s="494" t="str">
        <f>IF(D47="","",INDEX(Mapping!$H:$H,MATCH($I47,Mapping!$B:$B,0)))</f>
        <v>ISDN15VVE overstap</v>
      </c>
      <c r="L47" s="649">
        <f>MATCH(C47&amp;D47&amp;E47,'Tarieven ZM'!$B:$B,0)</f>
        <v>21</v>
      </c>
      <c r="M47" s="133">
        <f>INDEX('Tarieven ZM'!$F:$F,'Rekenblad Aansluiting'!$L47)</f>
        <v>100</v>
      </c>
      <c r="N47" s="133">
        <f>INDEX('Tarieven ZM'!$G:$H,'Rekenblad Aansluiting'!$L47,MATCH($G47,'Tarieven ZM'!$G$4:$H$4))</f>
        <v>100</v>
      </c>
      <c r="O47" s="136">
        <f>M47+N47/Parameters!$B$9</f>
        <v>102.77777777777777</v>
      </c>
      <c r="P47" s="495">
        <f>IF('Rekenblad Aansluiting'!D47="",0,INDEX('inkoop aansluitingen obv ULL'!E:E,MATCH(K47,'inkoop aansluitingen obv ULL'!B:B,0)))</f>
        <v>18.738178527777777</v>
      </c>
      <c r="Q47" s="142">
        <f>IF('Rekenblad Aansluiting'!D47="",0,INDEX('inkoop aansluitingen obv ULL'!F:F,MATCH(K47,'inkoop aansluitingen obv ULL'!B:B,0)))</f>
        <v>38.58</v>
      </c>
      <c r="R47" s="136">
        <f>P47+Q47/'Parameters ULL'!$E$10</f>
        <v>19.809845194444442</v>
      </c>
      <c r="S47" s="138">
        <f>IF(RIGHT(C47,2)="CM",O47*MAX(Parameters!$B$2:$B$4),O47*Parameters!$B$3)</f>
        <v>10.277777777777779</v>
      </c>
      <c r="T47" s="142">
        <f>IF(RIGHT(C47,2)="CM",0,IF(LEFT(C47,2)="TZ",(('Vergoedingen grondslag'!$F$20+'Vergoedingen grondslag'!$I$20+'Vergoedingen grondslag'!$L$20+'Vergoedingen grondslag'!$O$20)*(M47)+('Vergoedingen grondslag'!$O$20*'Rekenblad Aansluiting'!$N47+'Vergoedingen grondslag'!$R$20+'Vergoedingen grondslag'!$U$20)/Parameters!$B$9),(('Vergoedingen grondslag'!$F$11+'Vergoedingen grondslag'!$I$11+'Vergoedingen grondslag'!$L$11+'Vergoedingen grondslag'!$O$11)*(M47))+('Vergoedingen grondslag'!$O$11*'Rekenblad Aansluiting'!$N47+'Vergoedingen grondslag'!$R$11+'Vergoedingen grondslag'!$U$11+'Vergoedingen grondslag'!$X$11)/36))</f>
        <v>4.1111111111111107</v>
      </c>
      <c r="U47" s="142">
        <f>M47*Parameters!$B$12</f>
        <v>0</v>
      </c>
      <c r="V47" s="136">
        <f t="shared" si="28"/>
        <v>14.388888888888889</v>
      </c>
      <c r="W47" s="142">
        <f t="shared" si="29"/>
        <v>34.198734083333335</v>
      </c>
      <c r="X47" s="138">
        <f t="shared" si="30"/>
        <v>68.579043694444437</v>
      </c>
      <c r="Y47" s="145">
        <f t="shared" si="18"/>
        <v>0.66725556027027022</v>
      </c>
      <c r="Z47" s="120" t="b">
        <f t="shared" si="31"/>
        <v>0</v>
      </c>
      <c r="AA47" s="331" t="s">
        <v>868</v>
      </c>
      <c r="AB47" s="4">
        <v>0</v>
      </c>
      <c r="AD47" s="445">
        <f>IF(RIGHT(C47,2)="CM",M47*MAX(Parameters!$B$2:$B$4),M47*Parameters!$B$3)</f>
        <v>10</v>
      </c>
      <c r="AE47" s="149">
        <f>IF(RIGHT(C47,2)="CM",0,IF(LEFT(C47,2)="TZ",(('Vergoedingen grondslag'!$F$20+'Vergoedingen grondslag'!$I$20+'Vergoedingen grondslag'!$L$20+'Vergoedingen grondslag'!$O$20)*(M47)+('Vergoedingen grondslag'!$O$20*'Rekenblad Aansluiting'!$N47*0+'Vergoedingen grondslag'!$R$20+'Vergoedingen grondslag'!$U$20)/Parameters!$B$9),(('Vergoedingen grondslag'!$F$11+'Vergoedingen grondslag'!$I$11+'Vergoedingen grondslag'!$L$11+'Vergoedingen grondslag'!$O$11)*(M47))+('Vergoedingen grondslag'!$O$11*'Rekenblad Aansluiting'!$N47*0+'Vergoedingen grondslag'!$R$11+'Vergoedingen grondslag'!$U$11+'Vergoedingen grondslag'!$X$11)/36))</f>
        <v>4.083333333333333</v>
      </c>
      <c r="AF47" s="652">
        <f>M47*Parameters!$B$12</f>
        <v>0</v>
      </c>
      <c r="AG47" s="774">
        <f t="shared" si="19"/>
        <v>14.083333333333332</v>
      </c>
      <c r="AH47" s="775">
        <f t="shared" si="20"/>
        <v>32.821511861111105</v>
      </c>
      <c r="AI47" s="447">
        <f t="shared" si="21"/>
        <v>67.178488138888895</v>
      </c>
      <c r="AJ47" s="173">
        <f t="shared" si="22"/>
        <v>0.67178488138888892</v>
      </c>
      <c r="AK47" s="120" t="b">
        <f t="shared" si="23"/>
        <v>0</v>
      </c>
    </row>
    <row r="48" spans="1:37" ht="14.4">
      <c r="A48" s="182" t="str">
        <f t="shared" si="24"/>
        <v>KPN Zakelijk BelBasisISDN20VVE overstap</v>
      </c>
      <c r="B48" s="120" t="str">
        <f t="shared" si="25"/>
        <v>KPN Zakelijk BelBasisISDN20VVE overstap</v>
      </c>
      <c r="C48" s="133" t="s">
        <v>471</v>
      </c>
      <c r="D48" s="133" t="s">
        <v>468</v>
      </c>
      <c r="E48" s="133"/>
      <c r="F48" s="133" t="s">
        <v>4</v>
      </c>
      <c r="G48" s="133" t="s">
        <v>459</v>
      </c>
      <c r="H48" s="133" t="str">
        <f t="shared" si="32"/>
        <v>ISDN20VVA</v>
      </c>
      <c r="I48" s="120" t="str">
        <f t="shared" si="33"/>
        <v>ISDN20VVE overstap</v>
      </c>
      <c r="J48" s="493" t="str">
        <f>IF(D48="","",INDEX(Mapping!$H:$H,MATCH($H48,Mapping!$B:$B,0)))</f>
        <v>ISDN20VVA</v>
      </c>
      <c r="K48" s="494" t="str">
        <f>IF(D48="","",INDEX(Mapping!$H:$H,MATCH($I48,Mapping!$B:$B,0)))</f>
        <v>ISDN20VVE overstap</v>
      </c>
      <c r="L48" s="649">
        <f>MATCH(C48&amp;D48&amp;E48,'Tarieven ZM'!$B:$B,0)</f>
        <v>22</v>
      </c>
      <c r="M48" s="133">
        <f>INDEX('Tarieven ZM'!$F:$F,'Rekenblad Aansluiting'!$L48)</f>
        <v>100</v>
      </c>
      <c r="N48" s="133">
        <f>INDEX('Tarieven ZM'!$G:$H,'Rekenblad Aansluiting'!$L48,MATCH($G48,'Tarieven ZM'!$G$4:$H$4))</f>
        <v>100</v>
      </c>
      <c r="O48" s="136">
        <f>M48+N48/Parameters!$B$9</f>
        <v>102.77777777777777</v>
      </c>
      <c r="P48" s="495">
        <f>IF('Rekenblad Aansluiting'!D48="",0,INDEX('inkoop aansluitingen obv ULL'!E:E,MATCH(K48,'inkoop aansluitingen obv ULL'!B:B,0)))</f>
        <v>18.738178527777777</v>
      </c>
      <c r="Q48" s="142">
        <f>IF('Rekenblad Aansluiting'!D48="",0,INDEX('inkoop aansluitingen obv ULL'!F:F,MATCH(K48,'inkoop aansluitingen obv ULL'!B:B,0)))</f>
        <v>38.58</v>
      </c>
      <c r="R48" s="136">
        <f>P48+Q48/'Parameters ULL'!$E$10</f>
        <v>19.809845194444442</v>
      </c>
      <c r="S48" s="138">
        <f>IF(RIGHT(C48,2)="CM",O48*MAX(Parameters!$B$2:$B$4),O48*Parameters!$B$3)</f>
        <v>10.277777777777779</v>
      </c>
      <c r="T48" s="142">
        <f>IF(RIGHT(C48,2)="CM",0,IF(LEFT(C48,2)="TZ",(('Vergoedingen grondslag'!$F$20+'Vergoedingen grondslag'!$I$20+'Vergoedingen grondslag'!$L$20+'Vergoedingen grondslag'!$O$20)*(M48)+('Vergoedingen grondslag'!$O$20*'Rekenblad Aansluiting'!$N48+'Vergoedingen grondslag'!$R$20+'Vergoedingen grondslag'!$U$20)/Parameters!$B$9),(('Vergoedingen grondslag'!$F$11+'Vergoedingen grondslag'!$I$11+'Vergoedingen grondslag'!$L$11+'Vergoedingen grondslag'!$O$11)*(M48))+('Vergoedingen grondslag'!$O$11*'Rekenblad Aansluiting'!$N48+'Vergoedingen grondslag'!$R$11+'Vergoedingen grondslag'!$U$11+'Vergoedingen grondslag'!$X$11)/36))</f>
        <v>4.1111111111111107</v>
      </c>
      <c r="U48" s="142">
        <f>M48*Parameters!$B$12</f>
        <v>0</v>
      </c>
      <c r="V48" s="136">
        <f t="shared" si="28"/>
        <v>14.388888888888889</v>
      </c>
      <c r="W48" s="142">
        <f t="shared" si="29"/>
        <v>34.198734083333335</v>
      </c>
      <c r="X48" s="138">
        <f t="shared" si="30"/>
        <v>68.579043694444437</v>
      </c>
      <c r="Y48" s="145">
        <f t="shared" si="18"/>
        <v>0.66725556027027022</v>
      </c>
      <c r="Z48" s="120" t="b">
        <f t="shared" si="31"/>
        <v>0</v>
      </c>
      <c r="AA48" s="331" t="s">
        <v>868</v>
      </c>
      <c r="AB48" s="4">
        <v>0</v>
      </c>
      <c r="AD48" s="445">
        <f>IF(RIGHT(C48,2)="CM",M48*MAX(Parameters!$B$2:$B$4),M48*Parameters!$B$3)</f>
        <v>10</v>
      </c>
      <c r="AE48" s="149">
        <f>IF(RIGHT(C48,2)="CM",0,IF(LEFT(C48,2)="TZ",(('Vergoedingen grondslag'!$F$20+'Vergoedingen grondslag'!$I$20+'Vergoedingen grondslag'!$L$20+'Vergoedingen grondslag'!$O$20)*(M48)+('Vergoedingen grondslag'!$O$20*'Rekenblad Aansluiting'!$N48*0+'Vergoedingen grondslag'!$R$20+'Vergoedingen grondslag'!$U$20)/Parameters!$B$9),(('Vergoedingen grondslag'!$F$11+'Vergoedingen grondslag'!$I$11+'Vergoedingen grondslag'!$L$11+'Vergoedingen grondslag'!$O$11)*(M48))+('Vergoedingen grondslag'!$O$11*'Rekenblad Aansluiting'!$N48*0+'Vergoedingen grondslag'!$R$11+'Vergoedingen grondslag'!$U$11+'Vergoedingen grondslag'!$X$11)/36))</f>
        <v>4.083333333333333</v>
      </c>
      <c r="AF48" s="652">
        <f>M48*Parameters!$B$12</f>
        <v>0</v>
      </c>
      <c r="AG48" s="774">
        <f t="shared" si="19"/>
        <v>14.083333333333332</v>
      </c>
      <c r="AH48" s="775">
        <f t="shared" si="20"/>
        <v>32.821511861111105</v>
      </c>
      <c r="AI48" s="447">
        <f t="shared" si="21"/>
        <v>67.178488138888895</v>
      </c>
      <c r="AJ48" s="173">
        <f t="shared" si="22"/>
        <v>0.67178488138888892</v>
      </c>
      <c r="AK48" s="120" t="b">
        <f t="shared" si="23"/>
        <v>0</v>
      </c>
    </row>
    <row r="49" spans="1:37" ht="14.4">
      <c r="A49" s="182" t="str">
        <f t="shared" si="24"/>
        <v>KPN Zakelijk BelBasisISDN30 eerste aansluitingVVE overstap</v>
      </c>
      <c r="B49" s="120" t="str">
        <f t="shared" si="25"/>
        <v>KPN Zakelijk BelBasisISDN30 eerste aansluitingVVE overstap</v>
      </c>
      <c r="C49" s="133" t="s">
        <v>471</v>
      </c>
      <c r="D49" s="133" t="s">
        <v>869</v>
      </c>
      <c r="E49" s="133"/>
      <c r="F49" s="133" t="s">
        <v>4</v>
      </c>
      <c r="G49" s="133" t="s">
        <v>459</v>
      </c>
      <c r="H49" s="133" t="str">
        <f t="shared" si="32"/>
        <v>ISDN30 eerste aansluitingVVA</v>
      </c>
      <c r="I49" s="120" t="str">
        <f t="shared" si="33"/>
        <v>ISDN30 eerste aansluitingVVE overstap</v>
      </c>
      <c r="J49" s="493" t="str">
        <f>IF(D49="","",INDEX(Mapping!$H:$H,MATCH($H49,Mapping!$B:$B,0)))</f>
        <v>ISDN30 eerste aansluitingVVA</v>
      </c>
      <c r="K49" s="494" t="str">
        <f>IF(D49="","",INDEX(Mapping!$H:$H,MATCH($I49,Mapping!$B:$B,0)))</f>
        <v>ISDN30 eerste aansluitingVVE overstap</v>
      </c>
      <c r="L49" s="649">
        <f>MATCH(C49&amp;D49&amp;E49,'Tarieven ZM'!$B:$B,0)</f>
        <v>23</v>
      </c>
      <c r="M49" s="133">
        <f>INDEX('Tarieven ZM'!$F:$F,'Rekenblad Aansluiting'!$L49)</f>
        <v>100</v>
      </c>
      <c r="N49" s="133">
        <f>INDEX('Tarieven ZM'!$G:$H,'Rekenblad Aansluiting'!$L49,MATCH($G49,'Tarieven ZM'!$G$4:$H$4))</f>
        <v>100</v>
      </c>
      <c r="O49" s="136">
        <f>M49+N49/Parameters!$B$9</f>
        <v>102.77777777777777</v>
      </c>
      <c r="P49" s="495">
        <f>IF('Rekenblad Aansluiting'!D49="",0,INDEX('inkoop aansluitingen obv ULL'!E:E,MATCH(K49,'inkoop aansluitingen obv ULL'!B:B,0)))</f>
        <v>18.738178527777777</v>
      </c>
      <c r="Q49" s="142">
        <f>IF('Rekenblad Aansluiting'!D49="",0,INDEX('inkoop aansluitingen obv ULL'!F:F,MATCH(K49,'inkoop aansluitingen obv ULL'!B:B,0)))</f>
        <v>38.58</v>
      </c>
      <c r="R49" s="136">
        <f>P49+Q49/'Parameters ULL'!$E$10</f>
        <v>19.809845194444442</v>
      </c>
      <c r="S49" s="138">
        <f>IF(RIGHT(C49,2)="CM",O49*MAX(Parameters!$B$2:$B$4),O49*Parameters!$B$3)</f>
        <v>10.277777777777779</v>
      </c>
      <c r="T49" s="142">
        <f>IF(RIGHT(C49,2)="CM",0,IF(LEFT(C49,2)="TZ",(('Vergoedingen grondslag'!$F$20+'Vergoedingen grondslag'!$I$20+'Vergoedingen grondslag'!$L$20+'Vergoedingen grondslag'!$O$20)*(M49)+('Vergoedingen grondslag'!$O$20*'Rekenblad Aansluiting'!$N49+'Vergoedingen grondslag'!$R$20+'Vergoedingen grondslag'!$U$20)/Parameters!$B$9),(('Vergoedingen grondslag'!$F$11+'Vergoedingen grondslag'!$I$11+'Vergoedingen grondslag'!$L$11+'Vergoedingen grondslag'!$O$11)*(M49))+('Vergoedingen grondslag'!$O$11*'Rekenblad Aansluiting'!$N49+'Vergoedingen grondslag'!$R$11+'Vergoedingen grondslag'!$U$11+'Vergoedingen grondslag'!$X$11)/36))</f>
        <v>4.1111111111111107</v>
      </c>
      <c r="U49" s="142">
        <f>M49*Parameters!$B$12</f>
        <v>0</v>
      </c>
      <c r="V49" s="136">
        <f t="shared" si="28"/>
        <v>14.388888888888889</v>
      </c>
      <c r="W49" s="142">
        <f t="shared" si="29"/>
        <v>34.198734083333335</v>
      </c>
      <c r="X49" s="138">
        <f t="shared" si="30"/>
        <v>68.579043694444437</v>
      </c>
      <c r="Y49" s="145">
        <f t="shared" si="18"/>
        <v>0.66725556027027022</v>
      </c>
      <c r="Z49" s="120" t="b">
        <f t="shared" si="31"/>
        <v>0</v>
      </c>
      <c r="AA49" s="331" t="s">
        <v>868</v>
      </c>
      <c r="AB49" s="4">
        <v>0</v>
      </c>
      <c r="AD49" s="445">
        <f>IF(RIGHT(C49,2)="CM",M49*MAX(Parameters!$B$2:$B$4),M49*Parameters!$B$3)</f>
        <v>10</v>
      </c>
      <c r="AE49" s="149">
        <f>IF(RIGHT(C49,2)="CM",0,IF(LEFT(C49,2)="TZ",(('Vergoedingen grondslag'!$F$20+'Vergoedingen grondslag'!$I$20+'Vergoedingen grondslag'!$L$20+'Vergoedingen grondslag'!$O$20)*(M49)+('Vergoedingen grondslag'!$O$20*'Rekenblad Aansluiting'!$N49*0+'Vergoedingen grondslag'!$R$20+'Vergoedingen grondslag'!$U$20)/Parameters!$B$9),(('Vergoedingen grondslag'!$F$11+'Vergoedingen grondslag'!$I$11+'Vergoedingen grondslag'!$L$11+'Vergoedingen grondslag'!$O$11)*(M49))+('Vergoedingen grondslag'!$O$11*'Rekenblad Aansluiting'!$N49*0+'Vergoedingen grondslag'!$R$11+'Vergoedingen grondslag'!$U$11+'Vergoedingen grondslag'!$X$11)/36))</f>
        <v>4.083333333333333</v>
      </c>
      <c r="AF49" s="652">
        <f>M49*Parameters!$B$12</f>
        <v>0</v>
      </c>
      <c r="AG49" s="774">
        <f t="shared" si="19"/>
        <v>14.083333333333332</v>
      </c>
      <c r="AH49" s="775">
        <f t="shared" si="20"/>
        <v>32.821511861111105</v>
      </c>
      <c r="AI49" s="447">
        <f t="shared" si="21"/>
        <v>67.178488138888895</v>
      </c>
      <c r="AJ49" s="173">
        <f t="shared" si="22"/>
        <v>0.67178488138888892</v>
      </c>
      <c r="AK49" s="120" t="b">
        <f t="shared" si="23"/>
        <v>0</v>
      </c>
    </row>
    <row r="50" spans="1:37" ht="14.4">
      <c r="A50" s="182" t="str">
        <f>C50&amp;D50&amp;E50&amp;G50</f>
        <v>KPN Zakelijk BelBasisISDN30 volgende aansluitingVVE overstap</v>
      </c>
      <c r="B50" s="120" t="str">
        <f>C50&amp;D50&amp;G50</f>
        <v>KPN Zakelijk BelBasisISDN30 volgende aansluitingVVE overstap</v>
      </c>
      <c r="C50" s="133" t="s">
        <v>471</v>
      </c>
      <c r="D50" s="133" t="s">
        <v>870</v>
      </c>
      <c r="E50" s="133"/>
      <c r="F50" s="133" t="s">
        <v>4</v>
      </c>
      <c r="G50" s="133" t="s">
        <v>459</v>
      </c>
      <c r="H50" s="133" t="str">
        <f>D50&amp;F50</f>
        <v>ISDN30 volgende aansluitingVVA</v>
      </c>
      <c r="I50" s="120" t="str">
        <f>D50&amp;G50</f>
        <v>ISDN30 volgende aansluitingVVE overstap</v>
      </c>
      <c r="J50" s="493" t="str">
        <f>IF(D50="","",INDEX(Mapping!$H:$H,MATCH($H50,Mapping!$B:$B,0)))</f>
        <v>ISDN30 volgende aansluitingVVA</v>
      </c>
      <c r="K50" s="494" t="str">
        <f>IF(D50="","",INDEX(Mapping!$H:$H,MATCH($I50,Mapping!$B:$B,0)))</f>
        <v>ISDN30 volgende aansluitingVVE overstap</v>
      </c>
      <c r="L50" s="649">
        <f>MATCH(C50&amp;D50&amp;E50,'Tarieven ZM'!$B:$B,0)</f>
        <v>24</v>
      </c>
      <c r="M50" s="133">
        <f>INDEX('Tarieven ZM'!$F:$F,'Rekenblad Aansluiting'!$L50)</f>
        <v>100</v>
      </c>
      <c r="N50" s="133">
        <f>INDEX('Tarieven ZM'!$G:$H,'Rekenblad Aansluiting'!$L50,MATCH($G50,'Tarieven ZM'!$G$4:$H$4))</f>
        <v>100</v>
      </c>
      <c r="O50" s="136">
        <f>M50+N50/Parameters!$B$9</f>
        <v>102.77777777777777</v>
      </c>
      <c r="P50" s="495">
        <f>IF('Rekenblad Aansluiting'!D50="",0,INDEX('inkoop aansluitingen obv ULL'!E:E,MATCH(K50,'inkoop aansluitingen obv ULL'!B:B,0)))</f>
        <v>18.738178527777777</v>
      </c>
      <c r="Q50" s="142">
        <f>IF('Rekenblad Aansluiting'!D50="",0,INDEX('inkoop aansluitingen obv ULL'!F:F,MATCH(K50,'inkoop aansluitingen obv ULL'!B:B,0)))</f>
        <v>38.58</v>
      </c>
      <c r="R50" s="136">
        <f>P50+Q50/'Parameters ULL'!$E$10</f>
        <v>19.809845194444442</v>
      </c>
      <c r="S50" s="138">
        <f>IF(RIGHT(C50,2)="CM",O50*MAX(Parameters!$B$2:$B$4),O50*Parameters!$B$3)</f>
        <v>10.277777777777779</v>
      </c>
      <c r="T50" s="142">
        <f>IF(RIGHT(C50,2)="CM",0,IF(LEFT(C50,2)="TZ",(('Vergoedingen grondslag'!$F$20+'Vergoedingen grondslag'!$I$20+'Vergoedingen grondslag'!$L$20+'Vergoedingen grondslag'!$O$20)*(M50)+('Vergoedingen grondslag'!$O$20*'Rekenblad Aansluiting'!$N50+'Vergoedingen grondslag'!$R$20+'Vergoedingen grondslag'!$U$20)/Parameters!$B$9),(('Vergoedingen grondslag'!$F$11+'Vergoedingen grondslag'!$I$11+'Vergoedingen grondslag'!$L$11+'Vergoedingen grondslag'!$O$11)*(M50))+('Vergoedingen grondslag'!$O$11*'Rekenblad Aansluiting'!$N50+'Vergoedingen grondslag'!$R$11+'Vergoedingen grondslag'!$U$11+'Vergoedingen grondslag'!$X$11)/36))</f>
        <v>4.1111111111111107</v>
      </c>
      <c r="U50" s="142">
        <f>M50*Parameters!$B$12</f>
        <v>0</v>
      </c>
      <c r="V50" s="136">
        <f>SUM(S50:U50)</f>
        <v>14.388888888888889</v>
      </c>
      <c r="W50" s="142">
        <f>R50+V50</f>
        <v>34.198734083333335</v>
      </c>
      <c r="X50" s="138">
        <f>O50-W50</f>
        <v>68.579043694444437</v>
      </c>
      <c r="Y50" s="145">
        <f>X50/O50</f>
        <v>0.66725556027027022</v>
      </c>
      <c r="Z50" s="120" t="b">
        <f>Y50&lt;0</f>
        <v>0</v>
      </c>
      <c r="AA50" s="331" t="s">
        <v>868</v>
      </c>
      <c r="AB50" s="4">
        <v>0</v>
      </c>
      <c r="AD50" s="445">
        <f>IF(RIGHT(C50,2)="CM",M50*MAX(Parameters!$B$2:$B$4),M50*Parameters!$B$3)</f>
        <v>10</v>
      </c>
      <c r="AE50" s="149">
        <f>IF(RIGHT(C50,2)="CM",0,IF(LEFT(C50,2)="TZ",(('Vergoedingen grondslag'!$F$20+'Vergoedingen grondslag'!$I$20+'Vergoedingen grondslag'!$L$20+'Vergoedingen grondslag'!$O$20)*(M50)+('Vergoedingen grondslag'!$O$20*'Rekenblad Aansluiting'!$N50*0+'Vergoedingen grondslag'!$R$20+'Vergoedingen grondslag'!$U$20)/Parameters!$B$9),(('Vergoedingen grondslag'!$F$11+'Vergoedingen grondslag'!$I$11+'Vergoedingen grondslag'!$L$11+'Vergoedingen grondslag'!$O$11)*(M50))+('Vergoedingen grondslag'!$O$11*'Rekenblad Aansluiting'!$N50*0+'Vergoedingen grondslag'!$R$11+'Vergoedingen grondslag'!$U$11+'Vergoedingen grondslag'!$X$11)/36))</f>
        <v>4.083333333333333</v>
      </c>
      <c r="AF50" s="652">
        <f>M50*Parameters!$B$12</f>
        <v>0</v>
      </c>
      <c r="AG50" s="774">
        <f t="shared" si="19"/>
        <v>14.083333333333332</v>
      </c>
      <c r="AH50" s="775">
        <f t="shared" si="20"/>
        <v>32.821511861111105</v>
      </c>
      <c r="AI50" s="447">
        <f t="shared" si="21"/>
        <v>67.178488138888895</v>
      </c>
      <c r="AJ50" s="173">
        <f t="shared" si="22"/>
        <v>0.67178488138888892</v>
      </c>
      <c r="AK50" s="120" t="b">
        <f t="shared" si="23"/>
        <v>0</v>
      </c>
    </row>
    <row r="51" spans="1:37" ht="14.4">
      <c r="A51" s="182" t="str">
        <f t="shared" si="24"/>
        <v>KPN Zakelijk BelBasisCityPhoneVVE overstap</v>
      </c>
      <c r="B51" s="120" t="str">
        <f t="shared" si="25"/>
        <v>KPN Zakelijk BelBasisCityPhoneVVE overstap</v>
      </c>
      <c r="C51" s="133" t="s">
        <v>471</v>
      </c>
      <c r="D51" s="133" t="s">
        <v>470</v>
      </c>
      <c r="E51" s="133"/>
      <c r="F51" s="133" t="s">
        <v>4</v>
      </c>
      <c r="G51" s="133" t="s">
        <v>459</v>
      </c>
      <c r="H51" s="133" t="str">
        <f t="shared" si="32"/>
        <v>CityPhoneVVA</v>
      </c>
      <c r="I51" s="120" t="str">
        <f t="shared" si="33"/>
        <v>CityPhoneVVE overstap</v>
      </c>
      <c r="J51" s="493" t="str">
        <f>IF(D51="","",INDEX(Mapping!$H:$H,MATCH($H51,Mapping!$B:$B,0)))</f>
        <v>CityPhoneVVA</v>
      </c>
      <c r="K51" s="494" t="str">
        <f>IF(D51="","",INDEX(Mapping!$H:$H,MATCH($I51,Mapping!$B:$B,0)))</f>
        <v>CityPhoneVVE overstap</v>
      </c>
      <c r="L51" s="649">
        <f>MATCH(C51&amp;D51&amp;E51,'Tarieven ZM'!$B:$B,0)</f>
        <v>25</v>
      </c>
      <c r="M51" s="133">
        <f>INDEX('Tarieven ZM'!$F:$F,'Rekenblad Aansluiting'!$L51)</f>
        <v>100</v>
      </c>
      <c r="N51" s="133">
        <f>INDEX('Tarieven ZM'!$G:$H,'Rekenblad Aansluiting'!$L51,MATCH($G51,'Tarieven ZM'!$G$4:$H$4))</f>
        <v>100</v>
      </c>
      <c r="O51" s="136">
        <f>M51+N51/Parameters!$B$9</f>
        <v>102.77777777777777</v>
      </c>
      <c r="P51" s="495">
        <f>IF('Rekenblad Aansluiting'!D51="",0,INDEX('inkoop aansluitingen obv ULL'!E:E,MATCH(K51,'inkoop aansluitingen obv ULL'!B:B,0)))</f>
        <v>0.42000000000000004</v>
      </c>
      <c r="Q51" s="142">
        <f>IF('Rekenblad Aansluiting'!D51="",0,INDEX('inkoop aansluitingen obv ULL'!F:F,MATCH(K51,'inkoop aansluitingen obv ULL'!B:B,0)))</f>
        <v>3.6</v>
      </c>
      <c r="R51" s="136">
        <f>P51+Q51/'Parameters ULL'!$E$10</f>
        <v>0.52</v>
      </c>
      <c r="S51" s="138">
        <f>IF(RIGHT(C51,2)="CM",O51*MAX(Parameters!$B$2:$B$4),O51*Parameters!$B$3)</f>
        <v>10.277777777777779</v>
      </c>
      <c r="T51" s="142">
        <f>IF(RIGHT(C51,2)="CM",0,IF(LEFT(C51,2)="TZ",(('Vergoedingen grondslag'!$F$20+'Vergoedingen grondslag'!$I$20+'Vergoedingen grondslag'!$L$20+'Vergoedingen grondslag'!$O$20)*(M51)+('Vergoedingen grondslag'!$O$20*'Rekenblad Aansluiting'!$N51+'Vergoedingen grondslag'!$R$20+'Vergoedingen grondslag'!$U$20)/Parameters!$B$9),(('Vergoedingen grondslag'!$F$11+'Vergoedingen grondslag'!$I$11+'Vergoedingen grondslag'!$L$11+'Vergoedingen grondslag'!$O$11)*(M51))+('Vergoedingen grondslag'!$O$11*'Rekenblad Aansluiting'!$N51+'Vergoedingen grondslag'!$R$11+'Vergoedingen grondslag'!$U$11+'Vergoedingen grondslag'!$X$11)/36))</f>
        <v>4.1111111111111107</v>
      </c>
      <c r="U51" s="142">
        <f>M51*Parameters!$B$12</f>
        <v>0</v>
      </c>
      <c r="V51" s="136">
        <f t="shared" si="28"/>
        <v>14.388888888888889</v>
      </c>
      <c r="W51" s="142">
        <f t="shared" si="29"/>
        <v>14.908888888888889</v>
      </c>
      <c r="X51" s="138">
        <f t="shared" si="30"/>
        <v>87.868888888888875</v>
      </c>
      <c r="Y51" s="145">
        <f t="shared" si="18"/>
        <v>0.85494054054054047</v>
      </c>
      <c r="Z51" s="120" t="b">
        <f t="shared" si="31"/>
        <v>0</v>
      </c>
      <c r="AA51" s="331" t="s">
        <v>868</v>
      </c>
      <c r="AB51" s="4">
        <v>0</v>
      </c>
      <c r="AD51" s="445">
        <f>IF(RIGHT(C51,2)="CM",M51*MAX(Parameters!$B$2:$B$4),M51*Parameters!$B$3)</f>
        <v>10</v>
      </c>
      <c r="AE51" s="149">
        <f>IF(RIGHT(C51,2)="CM",0,IF(LEFT(C51,2)="TZ",(('Vergoedingen grondslag'!$F$20+'Vergoedingen grondslag'!$I$20+'Vergoedingen grondslag'!$L$20+'Vergoedingen grondslag'!$O$20)*(M51)+('Vergoedingen grondslag'!$O$20*'Rekenblad Aansluiting'!$N51*0+'Vergoedingen grondslag'!$R$20+'Vergoedingen grondslag'!$U$20)/Parameters!$B$9),(('Vergoedingen grondslag'!$F$11+'Vergoedingen grondslag'!$I$11+'Vergoedingen grondslag'!$L$11+'Vergoedingen grondslag'!$O$11)*(M51))+('Vergoedingen grondslag'!$O$11*'Rekenblad Aansluiting'!$N51*0+'Vergoedingen grondslag'!$R$11+'Vergoedingen grondslag'!$U$11+'Vergoedingen grondslag'!$X$11)/36))</f>
        <v>4.083333333333333</v>
      </c>
      <c r="AF51" s="652">
        <f>M51*Parameters!$B$12</f>
        <v>0</v>
      </c>
      <c r="AG51" s="774">
        <f t="shared" si="19"/>
        <v>14.083333333333332</v>
      </c>
      <c r="AH51" s="775">
        <f t="shared" si="20"/>
        <v>14.503333333333332</v>
      </c>
      <c r="AI51" s="447">
        <f t="shared" si="21"/>
        <v>85.49666666666667</v>
      </c>
      <c r="AJ51" s="173">
        <f t="shared" si="22"/>
        <v>0.85496666666666665</v>
      </c>
      <c r="AK51" s="120" t="b">
        <f t="shared" si="23"/>
        <v>0</v>
      </c>
    </row>
    <row r="52" spans="1:37" ht="14.4">
      <c r="A52" s="182" t="str">
        <f t="shared" si="24"/>
        <v>TZ BelBasisPSTNVVE overstap</v>
      </c>
      <c r="B52" s="120" t="str">
        <f t="shared" si="25"/>
        <v>TZ BelBasisPSTNVVE overstap</v>
      </c>
      <c r="C52" s="133" t="s">
        <v>472</v>
      </c>
      <c r="D52" s="133" t="s">
        <v>463</v>
      </c>
      <c r="E52" s="133"/>
      <c r="F52" s="133" t="s">
        <v>4</v>
      </c>
      <c r="G52" s="133" t="s">
        <v>459</v>
      </c>
      <c r="H52" s="133" t="str">
        <f t="shared" si="32"/>
        <v>PSTNVVA</v>
      </c>
      <c r="I52" s="120" t="str">
        <f t="shared" si="33"/>
        <v>PSTNVVE overstap</v>
      </c>
      <c r="J52" s="493" t="str">
        <f>IF(D52="","",INDEX(Mapping!$H:$H,MATCH($H52,Mapping!$B:$B,0)))</f>
        <v>PSTNVVA</v>
      </c>
      <c r="K52" s="494" t="str">
        <f>IF(D52="","",INDEX(Mapping!$H:$H,MATCH($I52,Mapping!$B:$B,0)))</f>
        <v>PSTNVVE overstap</v>
      </c>
      <c r="L52" s="649">
        <f>MATCH(C52&amp;D52&amp;E52,'Tarieven ZM'!$B:$B,0)</f>
        <v>26</v>
      </c>
      <c r="M52" s="133">
        <f>INDEX('Tarieven ZM'!$F:$F,'Rekenblad Aansluiting'!$L52)</f>
        <v>100</v>
      </c>
      <c r="N52" s="133">
        <f>INDEX('Tarieven ZM'!$G:$H,'Rekenblad Aansluiting'!$L52,MATCH($G52,'Tarieven ZM'!$G$4:$H$4))</f>
        <v>100</v>
      </c>
      <c r="O52" s="136">
        <f>M52+N52/Parameters!$B$9</f>
        <v>102.77777777777777</v>
      </c>
      <c r="P52" s="495">
        <f>IF('Rekenblad Aansluiting'!D52="",0,INDEX('inkoop aansluitingen obv ULL'!E:E,MATCH(K52,'inkoop aansluitingen obv ULL'!B:B,0)))</f>
        <v>9.2350886055555534</v>
      </c>
      <c r="Q52" s="142">
        <f>IF('Rekenblad Aansluiting'!D52="",0,INDEX('inkoop aansluitingen obv ULL'!F:F,MATCH(K52,'inkoop aansluitingen obv ULL'!B:B,0)))</f>
        <v>19.29</v>
      </c>
      <c r="R52" s="136">
        <f>P52+Q52/'Parameters ULL'!$E$10</f>
        <v>9.7709219388888862</v>
      </c>
      <c r="S52" s="138">
        <f>IF(RIGHT(C52,2)="CM",O52*MAX(Parameters!$B$2:$B$4),O52*Parameters!$B$3)</f>
        <v>10.277777777777779</v>
      </c>
      <c r="T52" s="142">
        <f>IF(RIGHT(C52,2)="CM",0,IF(LEFT(C52,2)="TZ",(('Vergoedingen grondslag'!$F$20+'Vergoedingen grondslag'!$I$20+'Vergoedingen grondslag'!$L$20+'Vergoedingen grondslag'!$O$20)*(M52)+('Vergoedingen grondslag'!$O$20*'Rekenblad Aansluiting'!$N52+'Vergoedingen grondslag'!$R$20+'Vergoedingen grondslag'!$U$20)/Parameters!$B$9),(('Vergoedingen grondslag'!$F$11+'Vergoedingen grondslag'!$I$11+'Vergoedingen grondslag'!$L$11+'Vergoedingen grondslag'!$O$11)*(M52))+('Vergoedingen grondslag'!$O$11*'Rekenblad Aansluiting'!$N52+'Vergoedingen grondslag'!$R$11+'Vergoedingen grondslag'!$U$11+'Vergoedingen grondslag'!$X$11)/36))</f>
        <v>4.0558333333333332</v>
      </c>
      <c r="U52" s="142">
        <f>M52*Parameters!$B$12</f>
        <v>0</v>
      </c>
      <c r="V52" s="136">
        <f t="shared" si="28"/>
        <v>14.333611111111111</v>
      </c>
      <c r="W52" s="142">
        <f t="shared" si="29"/>
        <v>24.104533049999997</v>
      </c>
      <c r="X52" s="138">
        <f t="shared" si="30"/>
        <v>78.673244727777771</v>
      </c>
      <c r="Y52" s="145">
        <f t="shared" si="18"/>
        <v>0.76546940816216213</v>
      </c>
      <c r="Z52" s="120" t="b">
        <f t="shared" si="31"/>
        <v>0</v>
      </c>
      <c r="AA52" s="331" t="s">
        <v>868</v>
      </c>
      <c r="AB52" s="4">
        <v>0</v>
      </c>
      <c r="AD52" s="445">
        <f>IF(RIGHT(C52,2)="CM",M52*MAX(Parameters!$B$2:$B$4),M52*Parameters!$B$3)</f>
        <v>10</v>
      </c>
      <c r="AE52" s="149">
        <f>IF(RIGHT(C52,2)="CM",0,IF(LEFT(C52,2)="TZ",(('Vergoedingen grondslag'!$F$20+'Vergoedingen grondslag'!$I$20+'Vergoedingen grondslag'!$L$20+'Vergoedingen grondslag'!$O$20)*(M52)+('Vergoedingen grondslag'!$O$20*'Rekenblad Aansluiting'!$N52*0+'Vergoedingen grondslag'!$R$20+'Vergoedingen grondslag'!$U$20)/Parameters!$B$9),(('Vergoedingen grondslag'!$F$11+'Vergoedingen grondslag'!$I$11+'Vergoedingen grondslag'!$L$11+'Vergoedingen grondslag'!$O$11)*(M52))+('Vergoedingen grondslag'!$O$11*'Rekenblad Aansluiting'!$N52*0+'Vergoedingen grondslag'!$R$11+'Vergoedingen grondslag'!$U$11+'Vergoedingen grondslag'!$X$11)/36))</f>
        <v>4.0280555555555555</v>
      </c>
      <c r="AF52" s="652">
        <f>M52*Parameters!$B$12</f>
        <v>0</v>
      </c>
      <c r="AG52" s="774">
        <f t="shared" si="19"/>
        <v>14.028055555555556</v>
      </c>
      <c r="AH52" s="775">
        <f t="shared" si="20"/>
        <v>23.263144161111107</v>
      </c>
      <c r="AI52" s="447">
        <f t="shared" si="21"/>
        <v>76.736855838888886</v>
      </c>
      <c r="AJ52" s="173">
        <f t="shared" si="22"/>
        <v>0.76736855838888884</v>
      </c>
      <c r="AK52" s="120" t="b">
        <f t="shared" si="23"/>
        <v>0</v>
      </c>
    </row>
    <row r="53" spans="1:37" ht="14.4">
      <c r="A53" s="182" t="str">
        <f t="shared" si="24"/>
        <v>TZ BelBasisISDN1VVE overstap</v>
      </c>
      <c r="B53" s="120" t="str">
        <f t="shared" si="25"/>
        <v>TZ BelBasisISDN1VVE overstap</v>
      </c>
      <c r="C53" s="133" t="s">
        <v>472</v>
      </c>
      <c r="D53" s="133" t="s">
        <v>464</v>
      </c>
      <c r="E53" s="133"/>
      <c r="F53" s="133" t="s">
        <v>4</v>
      </c>
      <c r="G53" s="133" t="s">
        <v>459</v>
      </c>
      <c r="H53" s="133" t="str">
        <f t="shared" si="32"/>
        <v>ISDN1VVA</v>
      </c>
      <c r="I53" s="120" t="str">
        <f t="shared" si="33"/>
        <v>ISDN1VVE overstap</v>
      </c>
      <c r="J53" s="493" t="str">
        <f>IF(D53="","",INDEX(Mapping!$H:$H,MATCH($H53,Mapping!$B:$B,0)))</f>
        <v>ISDN1VVA</v>
      </c>
      <c r="K53" s="494" t="str">
        <f>IF(D53="","",INDEX(Mapping!$H:$H,MATCH($I53,Mapping!$B:$B,0)))</f>
        <v>ISDN1VVE overstap</v>
      </c>
      <c r="L53" s="649">
        <f>MATCH(C53&amp;D53&amp;E53,'Tarieven ZM'!$B:$B,0)</f>
        <v>27</v>
      </c>
      <c r="M53" s="133">
        <f>INDEX('Tarieven ZM'!$F:$F,'Rekenblad Aansluiting'!$L53)</f>
        <v>100</v>
      </c>
      <c r="N53" s="133">
        <f>INDEX('Tarieven ZM'!$G:$H,'Rekenblad Aansluiting'!$L53,MATCH($G53,'Tarieven ZM'!$G$4:$H$4))</f>
        <v>100</v>
      </c>
      <c r="O53" s="136">
        <f>M53+N53/Parameters!$B$9</f>
        <v>102.77777777777777</v>
      </c>
      <c r="P53" s="495">
        <f>IF('Rekenblad Aansluiting'!D53="",0,INDEX('inkoop aansluitingen obv ULL'!E:E,MATCH(K53,'inkoop aansluitingen obv ULL'!B:B,0)))</f>
        <v>9.2350886055555534</v>
      </c>
      <c r="Q53" s="142">
        <f>IF('Rekenblad Aansluiting'!D53="",0,INDEX('inkoop aansluitingen obv ULL'!F:F,MATCH(K53,'inkoop aansluitingen obv ULL'!B:B,0)))</f>
        <v>19.29</v>
      </c>
      <c r="R53" s="136">
        <f>P53+Q53/'Parameters ULL'!$E$10</f>
        <v>9.7709219388888862</v>
      </c>
      <c r="S53" s="138">
        <f>IF(RIGHT(C53,2)="CM",O53*MAX(Parameters!$B$2:$B$4),O53*Parameters!$B$3)</f>
        <v>10.277777777777779</v>
      </c>
      <c r="T53" s="142">
        <f>IF(RIGHT(C53,2)="CM",0,IF(LEFT(C53,2)="TZ",(('Vergoedingen grondslag'!$F$20+'Vergoedingen grondslag'!$I$20+'Vergoedingen grondslag'!$L$20+'Vergoedingen grondslag'!$O$20)*(M53)+('Vergoedingen grondslag'!$O$20*'Rekenblad Aansluiting'!$N53+'Vergoedingen grondslag'!$R$20+'Vergoedingen grondslag'!$U$20)/Parameters!$B$9),(('Vergoedingen grondslag'!$F$11+'Vergoedingen grondslag'!$I$11+'Vergoedingen grondslag'!$L$11+'Vergoedingen grondslag'!$O$11)*(M53))+('Vergoedingen grondslag'!$O$11*'Rekenblad Aansluiting'!$N53+'Vergoedingen grondslag'!$R$11+'Vergoedingen grondslag'!$U$11+'Vergoedingen grondslag'!$X$11)/36))</f>
        <v>4.0558333333333332</v>
      </c>
      <c r="U53" s="142">
        <f>M53*Parameters!$B$12</f>
        <v>0</v>
      </c>
      <c r="V53" s="136">
        <f t="shared" si="28"/>
        <v>14.333611111111111</v>
      </c>
      <c r="W53" s="142">
        <f t="shared" si="29"/>
        <v>24.104533049999997</v>
      </c>
      <c r="X53" s="138">
        <f t="shared" si="30"/>
        <v>78.673244727777771</v>
      </c>
      <c r="Y53" s="145">
        <f t="shared" si="18"/>
        <v>0.76546940816216213</v>
      </c>
      <c r="Z53" s="120" t="b">
        <f t="shared" si="31"/>
        <v>0</v>
      </c>
      <c r="AA53" s="331" t="s">
        <v>868</v>
      </c>
      <c r="AB53" s="4">
        <v>0</v>
      </c>
      <c r="AD53" s="445">
        <f>IF(RIGHT(C53,2)="CM",M53*MAX(Parameters!$B$2:$B$4),M53*Parameters!$B$3)</f>
        <v>10</v>
      </c>
      <c r="AE53" s="149">
        <f>IF(RIGHT(C53,2)="CM",0,IF(LEFT(C53,2)="TZ",(('Vergoedingen grondslag'!$F$20+'Vergoedingen grondslag'!$I$20+'Vergoedingen grondslag'!$L$20+'Vergoedingen grondslag'!$O$20)*(M53)+('Vergoedingen grondslag'!$O$20*'Rekenblad Aansluiting'!$N53*0+'Vergoedingen grondslag'!$R$20+'Vergoedingen grondslag'!$U$20)/Parameters!$B$9),(('Vergoedingen grondslag'!$F$11+'Vergoedingen grondslag'!$I$11+'Vergoedingen grondslag'!$L$11+'Vergoedingen grondslag'!$O$11)*(M53))+('Vergoedingen grondslag'!$O$11*'Rekenblad Aansluiting'!$N53*0+'Vergoedingen grondslag'!$R$11+'Vergoedingen grondslag'!$U$11+'Vergoedingen grondslag'!$X$11)/36))</f>
        <v>4.0280555555555555</v>
      </c>
      <c r="AF53" s="652">
        <f>M53*Parameters!$B$12</f>
        <v>0</v>
      </c>
      <c r="AG53" s="774">
        <f t="shared" si="19"/>
        <v>14.028055555555556</v>
      </c>
      <c r="AH53" s="775">
        <f t="shared" si="20"/>
        <v>23.263144161111107</v>
      </c>
      <c r="AI53" s="447">
        <f t="shared" si="21"/>
        <v>76.736855838888886</v>
      </c>
      <c r="AJ53" s="173">
        <f t="shared" si="22"/>
        <v>0.76736855838888884</v>
      </c>
      <c r="AK53" s="120" t="b">
        <f t="shared" si="23"/>
        <v>0</v>
      </c>
    </row>
    <row r="54" spans="1:37" ht="14.4">
      <c r="A54" s="182" t="str">
        <f t="shared" si="24"/>
        <v>TZ BelBasisISDN2VVE overstap</v>
      </c>
      <c r="B54" s="120" t="str">
        <f t="shared" si="25"/>
        <v>TZ BelBasisISDN2VVE overstap</v>
      </c>
      <c r="C54" s="133" t="s">
        <v>472</v>
      </c>
      <c r="D54" s="133" t="s">
        <v>465</v>
      </c>
      <c r="E54" s="133"/>
      <c r="F54" s="133" t="s">
        <v>4</v>
      </c>
      <c r="G54" s="133" t="s">
        <v>459</v>
      </c>
      <c r="H54" s="133" t="str">
        <f t="shared" si="32"/>
        <v>ISDN2VVA</v>
      </c>
      <c r="I54" s="120" t="str">
        <f t="shared" si="33"/>
        <v>ISDN2VVE overstap</v>
      </c>
      <c r="J54" s="493" t="str">
        <f>IF(D54="","",INDEX(Mapping!$H:$H,MATCH($H54,Mapping!$B:$B,0)))</f>
        <v>ISDN2VVA</v>
      </c>
      <c r="K54" s="494" t="str">
        <f>IF(D54="","",INDEX(Mapping!$H:$H,MATCH($I54,Mapping!$B:$B,0)))</f>
        <v>ISDN2VVE overstap</v>
      </c>
      <c r="L54" s="649">
        <f>MATCH(C54&amp;D54&amp;E54,'Tarieven ZM'!$B:$B,0)</f>
        <v>28</v>
      </c>
      <c r="M54" s="133">
        <f>INDEX('Tarieven ZM'!$F:$F,'Rekenblad Aansluiting'!$L54)</f>
        <v>100</v>
      </c>
      <c r="N54" s="133">
        <f>INDEX('Tarieven ZM'!$G:$H,'Rekenblad Aansluiting'!$L54,MATCH($G54,'Tarieven ZM'!$G$4:$H$4))</f>
        <v>100</v>
      </c>
      <c r="O54" s="136">
        <f>M54+N54/Parameters!$B$9</f>
        <v>102.77777777777777</v>
      </c>
      <c r="P54" s="495">
        <f>IF('Rekenblad Aansluiting'!D54="",0,INDEX('inkoop aansluitingen obv ULL'!E:E,MATCH(K54,'inkoop aansluitingen obv ULL'!B:B,0)))</f>
        <v>9.2350886055555534</v>
      </c>
      <c r="Q54" s="142">
        <f>IF('Rekenblad Aansluiting'!D54="",0,INDEX('inkoop aansluitingen obv ULL'!F:F,MATCH(K54,'inkoop aansluitingen obv ULL'!B:B,0)))</f>
        <v>19.29</v>
      </c>
      <c r="R54" s="136">
        <f>P54+Q54/'Parameters ULL'!$E$10</f>
        <v>9.7709219388888862</v>
      </c>
      <c r="S54" s="138">
        <f>IF(RIGHT(C54,2)="CM",O54*MAX(Parameters!$B$2:$B$4),O54*Parameters!$B$3)</f>
        <v>10.277777777777779</v>
      </c>
      <c r="T54" s="142">
        <f>IF(RIGHT(C54,2)="CM",0,IF(LEFT(C54,2)="TZ",(('Vergoedingen grondslag'!$F$20+'Vergoedingen grondslag'!$I$20+'Vergoedingen grondslag'!$L$20+'Vergoedingen grondslag'!$O$20)*(M54)+('Vergoedingen grondslag'!$O$20*'Rekenblad Aansluiting'!$N54+'Vergoedingen grondslag'!$R$20+'Vergoedingen grondslag'!$U$20)/Parameters!$B$9),(('Vergoedingen grondslag'!$F$11+'Vergoedingen grondslag'!$I$11+'Vergoedingen grondslag'!$L$11+'Vergoedingen grondslag'!$O$11)*(M54))+('Vergoedingen grondslag'!$O$11*'Rekenblad Aansluiting'!$N54+'Vergoedingen grondslag'!$R$11+'Vergoedingen grondslag'!$U$11+'Vergoedingen grondslag'!$X$11)/36))</f>
        <v>4.0558333333333332</v>
      </c>
      <c r="U54" s="142">
        <f>M54*Parameters!$B$12</f>
        <v>0</v>
      </c>
      <c r="V54" s="136">
        <f t="shared" si="28"/>
        <v>14.333611111111111</v>
      </c>
      <c r="W54" s="142">
        <f t="shared" si="29"/>
        <v>24.104533049999997</v>
      </c>
      <c r="X54" s="138">
        <f t="shared" si="30"/>
        <v>78.673244727777771</v>
      </c>
      <c r="Y54" s="145">
        <f t="shared" si="18"/>
        <v>0.76546940816216213</v>
      </c>
      <c r="Z54" s="120" t="b">
        <f t="shared" si="31"/>
        <v>0</v>
      </c>
      <c r="AA54" s="331" t="s">
        <v>868</v>
      </c>
      <c r="AB54" s="4">
        <v>0</v>
      </c>
      <c r="AD54" s="445">
        <f>IF(RIGHT(C54,2)="CM",M54*MAX(Parameters!$B$2:$B$4),M54*Parameters!$B$3)</f>
        <v>10</v>
      </c>
      <c r="AE54" s="149">
        <f>IF(RIGHT(C54,2)="CM",0,IF(LEFT(C54,2)="TZ",(('Vergoedingen grondslag'!$F$20+'Vergoedingen grondslag'!$I$20+'Vergoedingen grondslag'!$L$20+'Vergoedingen grondslag'!$O$20)*(M54)+('Vergoedingen grondslag'!$O$20*'Rekenblad Aansluiting'!$N54*0+'Vergoedingen grondslag'!$R$20+'Vergoedingen grondslag'!$U$20)/Parameters!$B$9),(('Vergoedingen grondslag'!$F$11+'Vergoedingen grondslag'!$I$11+'Vergoedingen grondslag'!$L$11+'Vergoedingen grondslag'!$O$11)*(M54))+('Vergoedingen grondslag'!$O$11*'Rekenblad Aansluiting'!$N54*0+'Vergoedingen grondslag'!$R$11+'Vergoedingen grondslag'!$U$11+'Vergoedingen grondslag'!$X$11)/36))</f>
        <v>4.0280555555555555</v>
      </c>
      <c r="AF54" s="652">
        <f>M54*Parameters!$B$12</f>
        <v>0</v>
      </c>
      <c r="AG54" s="774">
        <f t="shared" si="19"/>
        <v>14.028055555555556</v>
      </c>
      <c r="AH54" s="775">
        <f t="shared" si="20"/>
        <v>23.263144161111107</v>
      </c>
      <c r="AI54" s="447">
        <f t="shared" si="21"/>
        <v>76.736855838888886</v>
      </c>
      <c r="AJ54" s="173">
        <f t="shared" si="22"/>
        <v>0.76736855838888884</v>
      </c>
      <c r="AK54" s="120" t="b">
        <f t="shared" si="23"/>
        <v>0</v>
      </c>
    </row>
    <row r="55" spans="1:37" ht="14.4">
      <c r="A55" s="182" t="str">
        <f t="shared" si="24"/>
        <v>TZ BelBasisISDN15VVE overstap</v>
      </c>
      <c r="B55" s="120" t="str">
        <f t="shared" si="25"/>
        <v>TZ BelBasisISDN15VVE overstap</v>
      </c>
      <c r="C55" s="133" t="s">
        <v>472</v>
      </c>
      <c r="D55" s="133" t="s">
        <v>466</v>
      </c>
      <c r="E55" s="133"/>
      <c r="F55" s="133" t="s">
        <v>4</v>
      </c>
      <c r="G55" s="133" t="s">
        <v>459</v>
      </c>
      <c r="H55" s="133" t="str">
        <f t="shared" si="32"/>
        <v>ISDN15VVA</v>
      </c>
      <c r="I55" s="120" t="str">
        <f t="shared" si="33"/>
        <v>ISDN15VVE overstap</v>
      </c>
      <c r="J55" s="493" t="str">
        <f>IF(D55="","",INDEX(Mapping!$H:$H,MATCH($H55,Mapping!$B:$B,0)))</f>
        <v>ISDN15VVA</v>
      </c>
      <c r="K55" s="494" t="str">
        <f>IF(D55="","",INDEX(Mapping!$H:$H,MATCH($I55,Mapping!$B:$B,0)))</f>
        <v>ISDN15VVE overstap</v>
      </c>
      <c r="L55" s="649">
        <f>MATCH(C55&amp;D55&amp;E55,'Tarieven ZM'!$B:$B,0)</f>
        <v>29</v>
      </c>
      <c r="M55" s="133">
        <f>INDEX('Tarieven ZM'!$F:$F,'Rekenblad Aansluiting'!$L55)</f>
        <v>100</v>
      </c>
      <c r="N55" s="133">
        <f>INDEX('Tarieven ZM'!$G:$H,'Rekenblad Aansluiting'!$L55,MATCH($G55,'Tarieven ZM'!$G$4:$H$4))</f>
        <v>100</v>
      </c>
      <c r="O55" s="136">
        <f>M55+N55/Parameters!$B$9</f>
        <v>102.77777777777777</v>
      </c>
      <c r="P55" s="495">
        <f>IF('Rekenblad Aansluiting'!D55="",0,INDEX('inkoop aansluitingen obv ULL'!E:E,MATCH(K55,'inkoop aansluitingen obv ULL'!B:B,0)))</f>
        <v>18.738178527777777</v>
      </c>
      <c r="Q55" s="142">
        <f>IF('Rekenblad Aansluiting'!D55="",0,INDEX('inkoop aansluitingen obv ULL'!F:F,MATCH(K55,'inkoop aansluitingen obv ULL'!B:B,0)))</f>
        <v>38.58</v>
      </c>
      <c r="R55" s="136">
        <f>P55+Q55/'Parameters ULL'!$E$10</f>
        <v>19.809845194444442</v>
      </c>
      <c r="S55" s="138">
        <f>IF(RIGHT(C55,2)="CM",O55*MAX(Parameters!$B$2:$B$4),O55*Parameters!$B$3)</f>
        <v>10.277777777777779</v>
      </c>
      <c r="T55" s="142">
        <f>IF(RIGHT(C55,2)="CM",0,IF(LEFT(C55,2)="TZ",(('Vergoedingen grondslag'!$F$20+'Vergoedingen grondslag'!$I$20+'Vergoedingen grondslag'!$L$20+'Vergoedingen grondslag'!$O$20)*(M55)+('Vergoedingen grondslag'!$O$20*'Rekenblad Aansluiting'!$N55+'Vergoedingen grondslag'!$R$20+'Vergoedingen grondslag'!$U$20)/Parameters!$B$9),(('Vergoedingen grondslag'!$F$11+'Vergoedingen grondslag'!$I$11+'Vergoedingen grondslag'!$L$11+'Vergoedingen grondslag'!$O$11)*(M55))+('Vergoedingen grondslag'!$O$11*'Rekenblad Aansluiting'!$N55+'Vergoedingen grondslag'!$R$11+'Vergoedingen grondslag'!$U$11+'Vergoedingen grondslag'!$X$11)/36))</f>
        <v>4.0558333333333332</v>
      </c>
      <c r="U55" s="142">
        <f>M55*Parameters!$B$12</f>
        <v>0</v>
      </c>
      <c r="V55" s="136">
        <f t="shared" si="28"/>
        <v>14.333611111111111</v>
      </c>
      <c r="W55" s="142">
        <f t="shared" si="29"/>
        <v>34.143456305555553</v>
      </c>
      <c r="X55" s="138">
        <f t="shared" si="30"/>
        <v>68.634321472222211</v>
      </c>
      <c r="Y55" s="145">
        <f t="shared" si="18"/>
        <v>0.66779339810810801</v>
      </c>
      <c r="Z55" s="120" t="b">
        <f t="shared" si="31"/>
        <v>0</v>
      </c>
      <c r="AA55" s="331" t="s">
        <v>868</v>
      </c>
      <c r="AB55" s="4">
        <v>0</v>
      </c>
      <c r="AD55" s="445">
        <f>IF(RIGHT(C55,2)="CM",M55*MAX(Parameters!$B$2:$B$4),M55*Parameters!$B$3)</f>
        <v>10</v>
      </c>
      <c r="AE55" s="149">
        <f>IF(RIGHT(C55,2)="CM",0,IF(LEFT(C55,2)="TZ",(('Vergoedingen grondslag'!$F$20+'Vergoedingen grondslag'!$I$20+'Vergoedingen grondslag'!$L$20+'Vergoedingen grondslag'!$O$20)*(M55)+('Vergoedingen grondslag'!$O$20*'Rekenblad Aansluiting'!$N55*0+'Vergoedingen grondslag'!$R$20+'Vergoedingen grondslag'!$U$20)/Parameters!$B$9),(('Vergoedingen grondslag'!$F$11+'Vergoedingen grondslag'!$I$11+'Vergoedingen grondslag'!$L$11+'Vergoedingen grondslag'!$O$11)*(M55))+('Vergoedingen grondslag'!$O$11*'Rekenblad Aansluiting'!$N55*0+'Vergoedingen grondslag'!$R$11+'Vergoedingen grondslag'!$U$11+'Vergoedingen grondslag'!$X$11)/36))</f>
        <v>4.0280555555555555</v>
      </c>
      <c r="AF55" s="652">
        <f>M55*Parameters!$B$12</f>
        <v>0</v>
      </c>
      <c r="AG55" s="774">
        <f t="shared" si="19"/>
        <v>14.028055555555556</v>
      </c>
      <c r="AH55" s="775">
        <f t="shared" si="20"/>
        <v>32.76623408333333</v>
      </c>
      <c r="AI55" s="447">
        <f t="shared" si="21"/>
        <v>67.23376591666667</v>
      </c>
      <c r="AJ55" s="173">
        <f t="shared" si="22"/>
        <v>0.67233765916666666</v>
      </c>
      <c r="AK55" s="120" t="b">
        <f t="shared" si="23"/>
        <v>0</v>
      </c>
    </row>
    <row r="56" spans="1:37" ht="14.4">
      <c r="A56" s="182" t="str">
        <f t="shared" si="24"/>
        <v>TZ BelBasisISDN20VVE overstap</v>
      </c>
      <c r="B56" s="120" t="str">
        <f t="shared" si="25"/>
        <v>TZ BelBasisISDN20VVE overstap</v>
      </c>
      <c r="C56" s="133" t="s">
        <v>472</v>
      </c>
      <c r="D56" s="133" t="s">
        <v>468</v>
      </c>
      <c r="E56" s="133"/>
      <c r="F56" s="133" t="s">
        <v>4</v>
      </c>
      <c r="G56" s="133" t="s">
        <v>459</v>
      </c>
      <c r="H56" s="133" t="str">
        <f t="shared" si="32"/>
        <v>ISDN20VVA</v>
      </c>
      <c r="I56" s="120" t="str">
        <f t="shared" si="33"/>
        <v>ISDN20VVE overstap</v>
      </c>
      <c r="J56" s="493" t="str">
        <f>IF(D56="","",INDEX(Mapping!$H:$H,MATCH($H56,Mapping!$B:$B,0)))</f>
        <v>ISDN20VVA</v>
      </c>
      <c r="K56" s="494" t="str">
        <f>IF(D56="","",INDEX(Mapping!$H:$H,MATCH($I56,Mapping!$B:$B,0)))</f>
        <v>ISDN20VVE overstap</v>
      </c>
      <c r="L56" s="649">
        <f>MATCH(C56&amp;D56&amp;E56,'Tarieven ZM'!$B:$B,0)</f>
        <v>30</v>
      </c>
      <c r="M56" s="133">
        <f>INDEX('Tarieven ZM'!$F:$F,'Rekenblad Aansluiting'!$L56)</f>
        <v>100</v>
      </c>
      <c r="N56" s="133">
        <f>INDEX('Tarieven ZM'!$G:$H,'Rekenblad Aansluiting'!$L56,MATCH($G56,'Tarieven ZM'!$G$4:$H$4))</f>
        <v>100</v>
      </c>
      <c r="O56" s="136">
        <f>M56+N56/Parameters!$B$9</f>
        <v>102.77777777777777</v>
      </c>
      <c r="P56" s="495">
        <f>IF('Rekenblad Aansluiting'!D56="",0,INDEX('inkoop aansluitingen obv ULL'!E:E,MATCH(K56,'inkoop aansluitingen obv ULL'!B:B,0)))</f>
        <v>18.738178527777777</v>
      </c>
      <c r="Q56" s="142">
        <f>IF('Rekenblad Aansluiting'!D56="",0,INDEX('inkoop aansluitingen obv ULL'!F:F,MATCH(K56,'inkoop aansluitingen obv ULL'!B:B,0)))</f>
        <v>38.58</v>
      </c>
      <c r="R56" s="136">
        <f>P56+Q56/'Parameters ULL'!$E$10</f>
        <v>19.809845194444442</v>
      </c>
      <c r="S56" s="138">
        <f>IF(RIGHT(C56,2)="CM",O56*MAX(Parameters!$B$2:$B$4),O56*Parameters!$B$3)</f>
        <v>10.277777777777779</v>
      </c>
      <c r="T56" s="142">
        <f>IF(RIGHT(C56,2)="CM",0,IF(LEFT(C56,2)="TZ",(('Vergoedingen grondslag'!$F$20+'Vergoedingen grondslag'!$I$20+'Vergoedingen grondslag'!$L$20+'Vergoedingen grondslag'!$O$20)*(M56)+('Vergoedingen grondslag'!$O$20*'Rekenblad Aansluiting'!$N56+'Vergoedingen grondslag'!$R$20+'Vergoedingen grondslag'!$U$20)/Parameters!$B$9),(('Vergoedingen grondslag'!$F$11+'Vergoedingen grondslag'!$I$11+'Vergoedingen grondslag'!$L$11+'Vergoedingen grondslag'!$O$11)*(M56))+('Vergoedingen grondslag'!$O$11*'Rekenblad Aansluiting'!$N56+'Vergoedingen grondslag'!$R$11+'Vergoedingen grondslag'!$U$11+'Vergoedingen grondslag'!$X$11)/36))</f>
        <v>4.0558333333333332</v>
      </c>
      <c r="U56" s="142">
        <f>M56*Parameters!$B$12</f>
        <v>0</v>
      </c>
      <c r="V56" s="136">
        <f t="shared" si="28"/>
        <v>14.333611111111111</v>
      </c>
      <c r="W56" s="142">
        <f t="shared" si="29"/>
        <v>34.143456305555553</v>
      </c>
      <c r="X56" s="138">
        <f t="shared" si="30"/>
        <v>68.634321472222211</v>
      </c>
      <c r="Y56" s="145">
        <f t="shared" si="18"/>
        <v>0.66779339810810801</v>
      </c>
      <c r="Z56" s="120" t="b">
        <f t="shared" si="31"/>
        <v>0</v>
      </c>
      <c r="AA56" s="331" t="s">
        <v>868</v>
      </c>
      <c r="AB56" s="4">
        <v>0</v>
      </c>
      <c r="AD56" s="445">
        <f>IF(RIGHT(C56,2)="CM",M56*MAX(Parameters!$B$2:$B$4),M56*Parameters!$B$3)</f>
        <v>10</v>
      </c>
      <c r="AE56" s="149">
        <f>IF(RIGHT(C56,2)="CM",0,IF(LEFT(C56,2)="TZ",(('Vergoedingen grondslag'!$F$20+'Vergoedingen grondslag'!$I$20+'Vergoedingen grondslag'!$L$20+'Vergoedingen grondslag'!$O$20)*(M56)+('Vergoedingen grondslag'!$O$20*'Rekenblad Aansluiting'!$N56*0+'Vergoedingen grondslag'!$R$20+'Vergoedingen grondslag'!$U$20)/Parameters!$B$9),(('Vergoedingen grondslag'!$F$11+'Vergoedingen grondslag'!$I$11+'Vergoedingen grondslag'!$L$11+'Vergoedingen grondslag'!$O$11)*(M56))+('Vergoedingen grondslag'!$O$11*'Rekenblad Aansluiting'!$N56*0+'Vergoedingen grondslag'!$R$11+'Vergoedingen grondslag'!$U$11+'Vergoedingen grondslag'!$X$11)/36))</f>
        <v>4.0280555555555555</v>
      </c>
      <c r="AF56" s="652">
        <f>M56*Parameters!$B$12</f>
        <v>0</v>
      </c>
      <c r="AG56" s="774">
        <f t="shared" si="19"/>
        <v>14.028055555555556</v>
      </c>
      <c r="AH56" s="775">
        <f t="shared" si="20"/>
        <v>32.76623408333333</v>
      </c>
      <c r="AI56" s="447">
        <f t="shared" si="21"/>
        <v>67.23376591666667</v>
      </c>
      <c r="AJ56" s="173">
        <f t="shared" si="22"/>
        <v>0.67233765916666666</v>
      </c>
      <c r="AK56" s="120" t="b">
        <f t="shared" si="23"/>
        <v>0</v>
      </c>
    </row>
    <row r="57" spans="1:37" ht="14.4">
      <c r="A57" s="182" t="str">
        <f t="shared" si="24"/>
        <v>TZ BelBasisISDN30 eerste aansluitingVVE overstap</v>
      </c>
      <c r="B57" s="120" t="str">
        <f t="shared" si="25"/>
        <v>TZ BelBasisISDN30 eerste aansluitingVVE overstap</v>
      </c>
      <c r="C57" s="133" t="s">
        <v>472</v>
      </c>
      <c r="D57" s="133" t="s">
        <v>869</v>
      </c>
      <c r="E57" s="133"/>
      <c r="F57" s="133" t="s">
        <v>4</v>
      </c>
      <c r="G57" s="133" t="s">
        <v>459</v>
      </c>
      <c r="H57" s="133" t="str">
        <f t="shared" si="32"/>
        <v>ISDN30 eerste aansluitingVVA</v>
      </c>
      <c r="I57" s="120" t="str">
        <f t="shared" si="33"/>
        <v>ISDN30 eerste aansluitingVVE overstap</v>
      </c>
      <c r="J57" s="493" t="str">
        <f>IF(D57="","",INDEX(Mapping!$H:$H,MATCH($H57,Mapping!$B:$B,0)))</f>
        <v>ISDN30 eerste aansluitingVVA</v>
      </c>
      <c r="K57" s="494" t="str">
        <f>IF(D57="","",INDEX(Mapping!$H:$H,MATCH($I57,Mapping!$B:$B,0)))</f>
        <v>ISDN30 eerste aansluitingVVE overstap</v>
      </c>
      <c r="L57" s="649">
        <f>MATCH(C57&amp;D57&amp;E57,'Tarieven ZM'!$B:$B,0)</f>
        <v>31</v>
      </c>
      <c r="M57" s="133">
        <f>INDEX('Tarieven ZM'!$F:$F,'Rekenblad Aansluiting'!$L57)</f>
        <v>100</v>
      </c>
      <c r="N57" s="133">
        <f>INDEX('Tarieven ZM'!$G:$H,'Rekenblad Aansluiting'!$L57,MATCH($G57,'Tarieven ZM'!$G$4:$H$4))</f>
        <v>100</v>
      </c>
      <c r="O57" s="136">
        <f>M57+N57/Parameters!$B$9</f>
        <v>102.77777777777777</v>
      </c>
      <c r="P57" s="495">
        <f>IF('Rekenblad Aansluiting'!D57="",0,INDEX('inkoop aansluitingen obv ULL'!E:E,MATCH(K57,'inkoop aansluitingen obv ULL'!B:B,0)))</f>
        <v>18.738178527777777</v>
      </c>
      <c r="Q57" s="142">
        <f>IF('Rekenblad Aansluiting'!D57="",0,INDEX('inkoop aansluitingen obv ULL'!F:F,MATCH(K57,'inkoop aansluitingen obv ULL'!B:B,0)))</f>
        <v>38.58</v>
      </c>
      <c r="R57" s="136">
        <f>P57+Q57/'Parameters ULL'!$E$10</f>
        <v>19.809845194444442</v>
      </c>
      <c r="S57" s="138">
        <f>IF(RIGHT(C57,2)="CM",O57*MAX(Parameters!$B$2:$B$4),O57*Parameters!$B$3)</f>
        <v>10.277777777777779</v>
      </c>
      <c r="T57" s="142">
        <f>IF(RIGHT(C57,2)="CM",0,IF(LEFT(C57,2)="TZ",(('Vergoedingen grondslag'!$F$20+'Vergoedingen grondslag'!$I$20+'Vergoedingen grondslag'!$L$20+'Vergoedingen grondslag'!$O$20)*(M57)+('Vergoedingen grondslag'!$O$20*'Rekenblad Aansluiting'!$N57+'Vergoedingen grondslag'!$R$20+'Vergoedingen grondslag'!$U$20)/Parameters!$B$9),(('Vergoedingen grondslag'!$F$11+'Vergoedingen grondslag'!$I$11+'Vergoedingen grondslag'!$L$11+'Vergoedingen grondslag'!$O$11)*(M57))+('Vergoedingen grondslag'!$O$11*'Rekenblad Aansluiting'!$N57+'Vergoedingen grondslag'!$R$11+'Vergoedingen grondslag'!$U$11+'Vergoedingen grondslag'!$X$11)/36))</f>
        <v>4.0558333333333332</v>
      </c>
      <c r="U57" s="142">
        <f>M57*Parameters!$B$12</f>
        <v>0</v>
      </c>
      <c r="V57" s="136">
        <f t="shared" si="28"/>
        <v>14.333611111111111</v>
      </c>
      <c r="W57" s="142">
        <f t="shared" si="29"/>
        <v>34.143456305555553</v>
      </c>
      <c r="X57" s="138">
        <f t="shared" si="30"/>
        <v>68.634321472222211</v>
      </c>
      <c r="Y57" s="145">
        <f t="shared" si="18"/>
        <v>0.66779339810810801</v>
      </c>
      <c r="Z57" s="120" t="b">
        <f t="shared" si="31"/>
        <v>0</v>
      </c>
      <c r="AA57" s="331" t="s">
        <v>868</v>
      </c>
      <c r="AB57" s="4">
        <v>0</v>
      </c>
      <c r="AD57" s="445">
        <f>IF(RIGHT(C57,2)="CM",M57*MAX(Parameters!$B$2:$B$4),M57*Parameters!$B$3)</f>
        <v>10</v>
      </c>
      <c r="AE57" s="149">
        <f>IF(RIGHT(C57,2)="CM",0,IF(LEFT(C57,2)="TZ",(('Vergoedingen grondslag'!$F$20+'Vergoedingen grondslag'!$I$20+'Vergoedingen grondslag'!$L$20+'Vergoedingen grondslag'!$O$20)*(M57)+('Vergoedingen grondslag'!$O$20*'Rekenblad Aansluiting'!$N57*0+'Vergoedingen grondslag'!$R$20+'Vergoedingen grondslag'!$U$20)/Parameters!$B$9),(('Vergoedingen grondslag'!$F$11+'Vergoedingen grondslag'!$I$11+'Vergoedingen grondslag'!$L$11+'Vergoedingen grondslag'!$O$11)*(M57))+('Vergoedingen grondslag'!$O$11*'Rekenblad Aansluiting'!$N57*0+'Vergoedingen grondslag'!$R$11+'Vergoedingen grondslag'!$U$11+'Vergoedingen grondslag'!$X$11)/36))</f>
        <v>4.0280555555555555</v>
      </c>
      <c r="AF57" s="652">
        <f>M57*Parameters!$B$12</f>
        <v>0</v>
      </c>
      <c r="AG57" s="774">
        <f t="shared" si="19"/>
        <v>14.028055555555556</v>
      </c>
      <c r="AH57" s="775">
        <f t="shared" si="20"/>
        <v>32.76623408333333</v>
      </c>
      <c r="AI57" s="447">
        <f t="shared" si="21"/>
        <v>67.23376591666667</v>
      </c>
      <c r="AJ57" s="173">
        <f t="shared" si="22"/>
        <v>0.67233765916666666</v>
      </c>
      <c r="AK57" s="120" t="b">
        <f t="shared" si="23"/>
        <v>0</v>
      </c>
    </row>
    <row r="58" spans="1:37" ht="14.4">
      <c r="A58" s="182" t="str">
        <f>C58&amp;D58&amp;E58&amp;G58</f>
        <v>TZ BelBasisISDN30 volgende aansluitingVVE overstap</v>
      </c>
      <c r="B58" s="120" t="str">
        <f>C58&amp;D58&amp;G58</f>
        <v>TZ BelBasisISDN30 volgende aansluitingVVE overstap</v>
      </c>
      <c r="C58" s="133" t="s">
        <v>472</v>
      </c>
      <c r="D58" s="133" t="s">
        <v>870</v>
      </c>
      <c r="E58" s="133"/>
      <c r="F58" s="133" t="s">
        <v>4</v>
      </c>
      <c r="G58" s="133" t="s">
        <v>459</v>
      </c>
      <c r="H58" s="133" t="str">
        <f>D58&amp;F58</f>
        <v>ISDN30 volgende aansluitingVVA</v>
      </c>
      <c r="I58" s="120" t="str">
        <f>D58&amp;G58</f>
        <v>ISDN30 volgende aansluitingVVE overstap</v>
      </c>
      <c r="J58" s="493" t="str">
        <f>IF(D58="","",INDEX(Mapping!$H:$H,MATCH($H58,Mapping!$B:$B,0)))</f>
        <v>ISDN30 volgende aansluitingVVA</v>
      </c>
      <c r="K58" s="494" t="str">
        <f>IF(D58="","",INDEX(Mapping!$H:$H,MATCH($I58,Mapping!$B:$B,0)))</f>
        <v>ISDN30 volgende aansluitingVVE overstap</v>
      </c>
      <c r="L58" s="649">
        <f>MATCH(C58&amp;D58&amp;E58,'Tarieven ZM'!$B:$B,0)</f>
        <v>32</v>
      </c>
      <c r="M58" s="133">
        <f>INDEX('Tarieven ZM'!$F:$F,'Rekenblad Aansluiting'!$L58)</f>
        <v>100</v>
      </c>
      <c r="N58" s="133">
        <f>INDEX('Tarieven ZM'!$G:$H,'Rekenblad Aansluiting'!$L58,MATCH($G58,'Tarieven ZM'!$G$4:$H$4))</f>
        <v>100</v>
      </c>
      <c r="O58" s="136">
        <f>M58+N58/Parameters!$B$9</f>
        <v>102.77777777777777</v>
      </c>
      <c r="P58" s="495">
        <f>IF('Rekenblad Aansluiting'!D58="",0,INDEX('inkoop aansluitingen obv ULL'!E:E,MATCH(K58,'inkoop aansluitingen obv ULL'!B:B,0)))</f>
        <v>18.738178527777777</v>
      </c>
      <c r="Q58" s="142">
        <f>IF('Rekenblad Aansluiting'!D58="",0,INDEX('inkoop aansluitingen obv ULL'!F:F,MATCH(K58,'inkoop aansluitingen obv ULL'!B:B,0)))</f>
        <v>38.58</v>
      </c>
      <c r="R58" s="136">
        <f>P58+Q58/'Parameters ULL'!$E$10</f>
        <v>19.809845194444442</v>
      </c>
      <c r="S58" s="138">
        <f>IF(RIGHT(C58,2)="CM",O58*MAX(Parameters!$B$2:$B$4),O58*Parameters!$B$3)</f>
        <v>10.277777777777779</v>
      </c>
      <c r="T58" s="142">
        <f>IF(RIGHT(C58,2)="CM",0,IF(LEFT(C58,2)="TZ",(('Vergoedingen grondslag'!$F$20+'Vergoedingen grondslag'!$I$20+'Vergoedingen grondslag'!$L$20+'Vergoedingen grondslag'!$O$20)*(M58)+('Vergoedingen grondslag'!$O$20*'Rekenblad Aansluiting'!$N58+'Vergoedingen grondslag'!$R$20+'Vergoedingen grondslag'!$U$20)/Parameters!$B$9),(('Vergoedingen grondslag'!$F$11+'Vergoedingen grondslag'!$I$11+'Vergoedingen grondslag'!$L$11+'Vergoedingen grondslag'!$O$11)*(M58))+('Vergoedingen grondslag'!$O$11*'Rekenblad Aansluiting'!$N58+'Vergoedingen grondslag'!$R$11+'Vergoedingen grondslag'!$U$11+'Vergoedingen grondslag'!$X$11)/36))</f>
        <v>4.0558333333333332</v>
      </c>
      <c r="U58" s="142">
        <f>M58*Parameters!$B$12</f>
        <v>0</v>
      </c>
      <c r="V58" s="136">
        <f>SUM(S58:U58)</f>
        <v>14.333611111111111</v>
      </c>
      <c r="W58" s="142">
        <f>R58+V58</f>
        <v>34.143456305555553</v>
      </c>
      <c r="X58" s="138">
        <f>O58-W58</f>
        <v>68.634321472222211</v>
      </c>
      <c r="Y58" s="145">
        <f>X58/O58</f>
        <v>0.66779339810810801</v>
      </c>
      <c r="Z58" s="120" t="b">
        <f>Y58&lt;0</f>
        <v>0</v>
      </c>
      <c r="AA58" s="331" t="s">
        <v>868</v>
      </c>
      <c r="AB58" s="4">
        <v>0</v>
      </c>
      <c r="AD58" s="445">
        <f>IF(RIGHT(C58,2)="CM",M58*MAX(Parameters!$B$2:$B$4),M58*Parameters!$B$3)</f>
        <v>10</v>
      </c>
      <c r="AE58" s="149">
        <f>IF(RIGHT(C58,2)="CM",0,IF(LEFT(C58,2)="TZ",(('Vergoedingen grondslag'!$F$20+'Vergoedingen grondslag'!$I$20+'Vergoedingen grondslag'!$L$20+'Vergoedingen grondslag'!$O$20)*(M58)+('Vergoedingen grondslag'!$O$20*'Rekenblad Aansluiting'!$N58*0+'Vergoedingen grondslag'!$R$20+'Vergoedingen grondslag'!$U$20)/Parameters!$B$9),(('Vergoedingen grondslag'!$F$11+'Vergoedingen grondslag'!$I$11+'Vergoedingen grondslag'!$L$11+'Vergoedingen grondslag'!$O$11)*(M58))+('Vergoedingen grondslag'!$O$11*'Rekenblad Aansluiting'!$N58*0+'Vergoedingen grondslag'!$R$11+'Vergoedingen grondslag'!$U$11+'Vergoedingen grondslag'!$X$11)/36))</f>
        <v>4.0280555555555555</v>
      </c>
      <c r="AF58" s="652">
        <f>M58*Parameters!$B$12</f>
        <v>0</v>
      </c>
      <c r="AG58" s="774">
        <f t="shared" si="19"/>
        <v>14.028055555555556</v>
      </c>
      <c r="AH58" s="775">
        <f t="shared" si="20"/>
        <v>32.76623408333333</v>
      </c>
      <c r="AI58" s="447">
        <f t="shared" si="21"/>
        <v>67.23376591666667</v>
      </c>
      <c r="AJ58" s="173">
        <f t="shared" si="22"/>
        <v>0.67233765916666666</v>
      </c>
      <c r="AK58" s="120" t="b">
        <f t="shared" si="23"/>
        <v>0</v>
      </c>
    </row>
    <row r="59" spans="1:37" ht="14.4">
      <c r="A59" s="182" t="str">
        <f t="shared" si="24"/>
        <v>TZ BelBasisCityPhoneVVE overstap</v>
      </c>
      <c r="B59" s="120" t="str">
        <f t="shared" si="25"/>
        <v>TZ BelBasisCityPhoneVVE overstap</v>
      </c>
      <c r="C59" s="133" t="s">
        <v>472</v>
      </c>
      <c r="D59" s="133" t="s">
        <v>470</v>
      </c>
      <c r="E59" s="133"/>
      <c r="F59" s="133" t="s">
        <v>4</v>
      </c>
      <c r="G59" s="133" t="s">
        <v>459</v>
      </c>
      <c r="H59" s="133" t="str">
        <f t="shared" si="32"/>
        <v>CityPhoneVVA</v>
      </c>
      <c r="I59" s="120" t="str">
        <f t="shared" si="33"/>
        <v>CityPhoneVVE overstap</v>
      </c>
      <c r="J59" s="493" t="str">
        <f>IF(D59="","",INDEX(Mapping!$H:$H,MATCH($H59,Mapping!$B:$B,0)))</f>
        <v>CityPhoneVVA</v>
      </c>
      <c r="K59" s="494" t="str">
        <f>IF(D59="","",INDEX(Mapping!$H:$H,MATCH($I59,Mapping!$B:$B,0)))</f>
        <v>CityPhoneVVE overstap</v>
      </c>
      <c r="L59" s="649">
        <f>MATCH(C59&amp;D59&amp;E59,'Tarieven ZM'!$B:$B,0)</f>
        <v>33</v>
      </c>
      <c r="M59" s="133">
        <f>INDEX('Tarieven ZM'!$F:$F,'Rekenblad Aansluiting'!$L59)</f>
        <v>100</v>
      </c>
      <c r="N59" s="133">
        <f>INDEX('Tarieven ZM'!$G:$H,'Rekenblad Aansluiting'!$L59,MATCH($G59,'Tarieven ZM'!$G$4:$H$4))</f>
        <v>100</v>
      </c>
      <c r="O59" s="136">
        <f>M59+N59/Parameters!$B$9</f>
        <v>102.77777777777777</v>
      </c>
      <c r="P59" s="495">
        <f>IF('Rekenblad Aansluiting'!D59="",0,INDEX('inkoop aansluitingen obv ULL'!E:E,MATCH(K59,'inkoop aansluitingen obv ULL'!B:B,0)))</f>
        <v>0.42000000000000004</v>
      </c>
      <c r="Q59" s="142">
        <f>IF('Rekenblad Aansluiting'!D59="",0,INDEX('inkoop aansluitingen obv ULL'!F:F,MATCH(K59,'inkoop aansluitingen obv ULL'!B:B,0)))</f>
        <v>3.6</v>
      </c>
      <c r="R59" s="136">
        <f>P59+Q59/'Parameters ULL'!$E$10</f>
        <v>0.52</v>
      </c>
      <c r="S59" s="138">
        <f>IF(RIGHT(C59,2)="CM",O59*MAX(Parameters!$B$2:$B$4),O59*Parameters!$B$3)</f>
        <v>10.277777777777779</v>
      </c>
      <c r="T59" s="142">
        <f>IF(RIGHT(C59,2)="CM",0,IF(LEFT(C59,2)="TZ",(('Vergoedingen grondslag'!$F$20+'Vergoedingen grondslag'!$I$20+'Vergoedingen grondslag'!$L$20+'Vergoedingen grondslag'!$O$20)*(M59)+('Vergoedingen grondslag'!$O$20*'Rekenblad Aansluiting'!$N59+'Vergoedingen grondslag'!$R$20+'Vergoedingen grondslag'!$U$20)/Parameters!$B$9),(('Vergoedingen grondslag'!$F$11+'Vergoedingen grondslag'!$I$11+'Vergoedingen grondslag'!$L$11+'Vergoedingen grondslag'!$O$11)*(M59))+('Vergoedingen grondslag'!$O$11*'Rekenblad Aansluiting'!$N59+'Vergoedingen grondslag'!$R$11+'Vergoedingen grondslag'!$U$11+'Vergoedingen grondslag'!$X$11)/36))</f>
        <v>4.0558333333333332</v>
      </c>
      <c r="U59" s="142">
        <f>M59*Parameters!$B$12</f>
        <v>0</v>
      </c>
      <c r="V59" s="136">
        <f t="shared" si="28"/>
        <v>14.333611111111111</v>
      </c>
      <c r="W59" s="142">
        <f t="shared" si="29"/>
        <v>14.85361111111111</v>
      </c>
      <c r="X59" s="138">
        <f t="shared" si="30"/>
        <v>87.924166666666665</v>
      </c>
      <c r="Y59" s="145">
        <f t="shared" si="18"/>
        <v>0.85547837837837837</v>
      </c>
      <c r="Z59" s="120" t="b">
        <f t="shared" si="31"/>
        <v>0</v>
      </c>
      <c r="AA59" s="331" t="s">
        <v>868</v>
      </c>
      <c r="AB59" s="4">
        <v>0</v>
      </c>
      <c r="AD59" s="445">
        <f>IF(RIGHT(C59,2)="CM",M59*MAX(Parameters!$B$2:$B$4),M59*Parameters!$B$3)</f>
        <v>10</v>
      </c>
      <c r="AE59" s="149">
        <f>IF(RIGHT(C59,2)="CM",0,IF(LEFT(C59,2)="TZ",(('Vergoedingen grondslag'!$F$20+'Vergoedingen grondslag'!$I$20+'Vergoedingen grondslag'!$L$20+'Vergoedingen grondslag'!$O$20)*(M59)+('Vergoedingen grondslag'!$O$20*'Rekenblad Aansluiting'!$N59*0+'Vergoedingen grondslag'!$R$20+'Vergoedingen grondslag'!$U$20)/Parameters!$B$9),(('Vergoedingen grondslag'!$F$11+'Vergoedingen grondslag'!$I$11+'Vergoedingen grondslag'!$L$11+'Vergoedingen grondslag'!$O$11)*(M59))+('Vergoedingen grondslag'!$O$11*'Rekenblad Aansluiting'!$N59*0+'Vergoedingen grondslag'!$R$11+'Vergoedingen grondslag'!$U$11+'Vergoedingen grondslag'!$X$11)/36))</f>
        <v>4.0280555555555555</v>
      </c>
      <c r="AF59" s="652">
        <f>M59*Parameters!$B$12</f>
        <v>0</v>
      </c>
      <c r="AG59" s="774">
        <f t="shared" si="19"/>
        <v>14.028055555555556</v>
      </c>
      <c r="AH59" s="775">
        <f t="shared" si="20"/>
        <v>14.448055555555555</v>
      </c>
      <c r="AI59" s="447">
        <f t="shared" si="21"/>
        <v>85.551944444444445</v>
      </c>
      <c r="AJ59" s="173">
        <f t="shared" si="22"/>
        <v>0.8555194444444445</v>
      </c>
      <c r="AK59" s="120" t="b">
        <f t="shared" si="23"/>
        <v>0</v>
      </c>
    </row>
    <row r="60" spans="1:37" ht="14.4">
      <c r="A60" s="182" t="str">
        <f t="shared" si="24"/>
        <v>Slim BereikbaarISDN1VVE nieuwe aanleg</v>
      </c>
      <c r="B60" s="120" t="str">
        <f t="shared" si="25"/>
        <v>Slim BereikbaarISDN1VVE nieuwe aanleg</v>
      </c>
      <c r="C60" s="133" t="s">
        <v>714</v>
      </c>
      <c r="D60" s="133"/>
      <c r="E60" s="133"/>
      <c r="F60" s="133" t="s">
        <v>4</v>
      </c>
      <c r="G60" s="133" t="s">
        <v>458</v>
      </c>
      <c r="H60" s="133" t="str">
        <f>D60&amp;F60</f>
        <v>VVA</v>
      </c>
      <c r="I60" s="120" t="str">
        <f>D60&amp;G60</f>
        <v>VVE nieuwe aanleg</v>
      </c>
      <c r="J60" s="493"/>
      <c r="K60" s="494" t="str">
        <f>IF(D60="","",INDEX(Mapping!$H:$H,MATCH($I60,Mapping!$B:$B,0)))</f>
        <v/>
      </c>
      <c r="L60" s="649">
        <f>MATCH(C60&amp;D60&amp;E60,'Tarieven ZM'!$B:$B,0)</f>
        <v>34</v>
      </c>
      <c r="M60" s="133">
        <f>INDEX('Tarieven ZM'!$F:$F,'Rekenblad Aansluiting'!$L60)</f>
        <v>100</v>
      </c>
      <c r="N60" s="133">
        <f>INDEX('Tarieven ZM'!$G:$H,'Rekenblad Aansluiting'!$L60,MATCH($G60,'Tarieven ZM'!$G$4:$H$4))</f>
        <v>100</v>
      </c>
      <c r="O60" s="136">
        <f>M60+N60/Parameters!$B$9</f>
        <v>102.77777777777777</v>
      </c>
      <c r="P60" s="495">
        <f>IF('Rekenblad Aansluiting'!D60="",0,INDEX('inkoop aansluitingen obv ULL'!E:E,MATCH(K60,'inkoop aansluitingen obv ULL'!B:B,0)))</f>
        <v>0</v>
      </c>
      <c r="Q60" s="142">
        <f>IF('Rekenblad Aansluiting'!D60="",0,INDEX('inkoop aansluitingen obv ULL'!F:F,MATCH(K60,'inkoop aansluitingen obv ULL'!B:B,0)))</f>
        <v>0</v>
      </c>
      <c r="R60" s="136">
        <f>P60+Q60/'Parameters ULL'!$E$10</f>
        <v>0</v>
      </c>
      <c r="S60" s="138">
        <f>IF(RIGHT(C60,2)="CM",O60*MAX(Parameters!$B$2:$B$4),O60*Parameters!$B$3)</f>
        <v>10.277777777777779</v>
      </c>
      <c r="T60" s="142">
        <f>IF(RIGHT(C60,2)="CM",0,IF(LEFT(C60,2)="TZ",(('Vergoedingen grondslag'!$F$20+'Vergoedingen grondslag'!$I$20+'Vergoedingen grondslag'!$L$20+'Vergoedingen grondslag'!$O$20)*(M60)+('Vergoedingen grondslag'!$O$20*'Rekenblad Aansluiting'!$N60+'Vergoedingen grondslag'!$R$20+'Vergoedingen grondslag'!$U$20)/Parameters!$B$9),(('Vergoedingen grondslag'!$F$11+'Vergoedingen grondslag'!$I$11+'Vergoedingen grondslag'!$L$11+'Vergoedingen grondslag'!$O$11)*(M60))+('Vergoedingen grondslag'!$O$11*'Rekenblad Aansluiting'!$N60+'Vergoedingen grondslag'!$R$11+'Vergoedingen grondslag'!$U$11+'Vergoedingen grondslag'!$X$11)/36))</f>
        <v>4.1111111111111107</v>
      </c>
      <c r="U60" s="142">
        <f>M60*Parameters!$B$12</f>
        <v>0</v>
      </c>
      <c r="V60" s="136">
        <f>SUM(S60:U60)</f>
        <v>14.388888888888889</v>
      </c>
      <c r="W60" s="142">
        <f>R60+V60</f>
        <v>14.388888888888889</v>
      </c>
      <c r="X60" s="138">
        <f>O60-W60</f>
        <v>88.388888888888886</v>
      </c>
      <c r="Y60" s="145">
        <f>X60/O60</f>
        <v>0.86</v>
      </c>
      <c r="Z60" s="120" t="b">
        <f>Y60&lt;0</f>
        <v>0</v>
      </c>
      <c r="AA60" s="331" t="s">
        <v>868</v>
      </c>
      <c r="AB60" s="4">
        <v>1</v>
      </c>
      <c r="AD60" s="445">
        <f>IF(RIGHT(C60,2)="CM",M60*MAX(Parameters!$B$2:$B$4),M60*Parameters!$B$3)</f>
        <v>10</v>
      </c>
      <c r="AE60" s="149">
        <f>IF(RIGHT(C60,2)="CM",0,IF(LEFT(C60,2)="TZ",(('Vergoedingen grondslag'!$F$20+'Vergoedingen grondslag'!$I$20+'Vergoedingen grondslag'!$L$20+'Vergoedingen grondslag'!$O$20)*(M60)+('Vergoedingen grondslag'!$O$20*'Rekenblad Aansluiting'!$N60*0+'Vergoedingen grondslag'!$R$20+'Vergoedingen grondslag'!$U$20)/Parameters!$B$9),(('Vergoedingen grondslag'!$F$11+'Vergoedingen grondslag'!$I$11+'Vergoedingen grondslag'!$L$11+'Vergoedingen grondslag'!$O$11)*(M60))+('Vergoedingen grondslag'!$O$11*'Rekenblad Aansluiting'!$N60*0+'Vergoedingen grondslag'!$R$11+'Vergoedingen grondslag'!$U$11+'Vergoedingen grondslag'!$X$11)/36))</f>
        <v>4.083333333333333</v>
      </c>
      <c r="AF60" s="652">
        <f>M60*Parameters!$B$12</f>
        <v>0</v>
      </c>
      <c r="AG60" s="774">
        <f t="shared" si="19"/>
        <v>14.083333333333332</v>
      </c>
      <c r="AH60" s="775">
        <f t="shared" si="20"/>
        <v>14.083333333333332</v>
      </c>
      <c r="AI60" s="447">
        <f t="shared" si="21"/>
        <v>85.916666666666671</v>
      </c>
      <c r="AJ60" s="173">
        <f t="shared" si="22"/>
        <v>0.85916666666666675</v>
      </c>
      <c r="AK60" s="120" t="b">
        <f t="shared" si="23"/>
        <v>0</v>
      </c>
    </row>
    <row r="61" spans="1:37" ht="14.4">
      <c r="A61" s="182" t="str">
        <f t="shared" si="24"/>
        <v>Slim BereikbaarISDN2VVE nieuwe aanleg</v>
      </c>
      <c r="B61" s="120" t="str">
        <f t="shared" si="25"/>
        <v>Slim BereikbaarISDN2VVE nieuwe aanleg</v>
      </c>
      <c r="C61" s="133" t="s">
        <v>715</v>
      </c>
      <c r="D61" s="133"/>
      <c r="E61" s="133"/>
      <c r="F61" s="133" t="s">
        <v>4</v>
      </c>
      <c r="G61" s="133" t="s">
        <v>458</v>
      </c>
      <c r="H61" s="133" t="str">
        <f>D61&amp;F61</f>
        <v>VVA</v>
      </c>
      <c r="I61" s="120" t="str">
        <f>D61&amp;G61</f>
        <v>VVE nieuwe aanleg</v>
      </c>
      <c r="J61" s="493" t="str">
        <f>IF(D61="","",INDEX(Mapping!$H:$H,MATCH($H61,Mapping!$B:$B,0)))</f>
        <v/>
      </c>
      <c r="K61" s="494" t="str">
        <f>IF(D61="","",INDEX(Mapping!$H:$H,MATCH($I61,Mapping!$B:$B,0)))</f>
        <v/>
      </c>
      <c r="L61" s="649">
        <f>MATCH(C61&amp;D61&amp;E61,'Tarieven ZM'!$B:$B,0)</f>
        <v>35</v>
      </c>
      <c r="M61" s="133">
        <f>INDEX('Tarieven ZM'!$F:$F,'Rekenblad Aansluiting'!$L61)</f>
        <v>100</v>
      </c>
      <c r="N61" s="133">
        <f>INDEX('Tarieven ZM'!$G:$H,'Rekenblad Aansluiting'!$L61,MATCH($G61,'Tarieven ZM'!$G$4:$H$4))</f>
        <v>100</v>
      </c>
      <c r="O61" s="136">
        <f>M61+N61/Parameters!$B$9</f>
        <v>102.77777777777777</v>
      </c>
      <c r="P61" s="495">
        <f>IF('Rekenblad Aansluiting'!D61="",0,INDEX('inkoop aansluitingen obv ULL'!E:E,MATCH(K61,'inkoop aansluitingen obv ULL'!B:B,0)))</f>
        <v>0</v>
      </c>
      <c r="Q61" s="142">
        <f>IF('Rekenblad Aansluiting'!D61="",0,INDEX('inkoop aansluitingen obv ULL'!F:F,MATCH(K61,'inkoop aansluitingen obv ULL'!B:B,0)))</f>
        <v>0</v>
      </c>
      <c r="R61" s="136">
        <f>P61+Q61/'Parameters ULL'!$E$10</f>
        <v>0</v>
      </c>
      <c r="S61" s="138">
        <f>IF(RIGHT(C61,2)="CM",O61*MAX(Parameters!$B$2:$B$4),O61*Parameters!$B$3)</f>
        <v>10.277777777777779</v>
      </c>
      <c r="T61" s="142">
        <f>IF(RIGHT(C61,2)="CM",0,IF(LEFT(C61,2)="TZ",(('Vergoedingen grondslag'!$F$20+'Vergoedingen grondslag'!$I$20+'Vergoedingen grondslag'!$L$20+'Vergoedingen grondslag'!$O$20)*(M61)+('Vergoedingen grondslag'!$O$20*'Rekenblad Aansluiting'!$N61+'Vergoedingen grondslag'!$R$20+'Vergoedingen grondslag'!$U$20)/Parameters!$B$9),(('Vergoedingen grondslag'!$F$11+'Vergoedingen grondslag'!$I$11+'Vergoedingen grondslag'!$L$11+'Vergoedingen grondslag'!$O$11)*(M61))+('Vergoedingen grondslag'!$O$11*'Rekenblad Aansluiting'!$N61+'Vergoedingen grondslag'!$R$11+'Vergoedingen grondslag'!$U$11+'Vergoedingen grondslag'!$X$11)/36))</f>
        <v>4.1111111111111107</v>
      </c>
      <c r="U61" s="142">
        <f>M61*Parameters!$B$12</f>
        <v>0</v>
      </c>
      <c r="V61" s="136">
        <f>SUM(S61:U61)</f>
        <v>14.388888888888889</v>
      </c>
      <c r="W61" s="142">
        <f>R61+V61</f>
        <v>14.388888888888889</v>
      </c>
      <c r="X61" s="138">
        <f>O61-W61</f>
        <v>88.388888888888886</v>
      </c>
      <c r="Y61" s="145">
        <f>X61/O61</f>
        <v>0.86</v>
      </c>
      <c r="Z61" s="120" t="b">
        <f>Y61&lt;0</f>
        <v>0</v>
      </c>
      <c r="AA61" s="331" t="s">
        <v>868</v>
      </c>
      <c r="AB61" s="4">
        <v>1</v>
      </c>
      <c r="AD61" s="445">
        <f>IF(RIGHT(C61,2)="CM",M61*MAX(Parameters!$B$2:$B$4),M61*Parameters!$B$3)</f>
        <v>10</v>
      </c>
      <c r="AE61" s="149">
        <f>IF(RIGHT(C61,2)="CM",0,IF(LEFT(C61,2)="TZ",(('Vergoedingen grondslag'!$F$20+'Vergoedingen grondslag'!$I$20+'Vergoedingen grondslag'!$L$20+'Vergoedingen grondslag'!$O$20)*(M61)+('Vergoedingen grondslag'!$O$20*'Rekenblad Aansluiting'!$N61*0+'Vergoedingen grondslag'!$R$20+'Vergoedingen grondslag'!$U$20)/Parameters!$B$9),(('Vergoedingen grondslag'!$F$11+'Vergoedingen grondslag'!$I$11+'Vergoedingen grondslag'!$L$11+'Vergoedingen grondslag'!$O$11)*(M61))+('Vergoedingen grondslag'!$O$11*'Rekenblad Aansluiting'!$N61*0+'Vergoedingen grondslag'!$R$11+'Vergoedingen grondslag'!$U$11+'Vergoedingen grondslag'!$X$11)/36))</f>
        <v>4.083333333333333</v>
      </c>
      <c r="AF61" s="652">
        <f>M61*Parameters!$B$12</f>
        <v>0</v>
      </c>
      <c r="AG61" s="774">
        <f t="shared" si="19"/>
        <v>14.083333333333332</v>
      </c>
      <c r="AH61" s="775">
        <f t="shared" si="20"/>
        <v>14.083333333333332</v>
      </c>
      <c r="AI61" s="447">
        <f t="shared" si="21"/>
        <v>85.916666666666671</v>
      </c>
      <c r="AJ61" s="173">
        <f t="shared" si="22"/>
        <v>0.85916666666666675</v>
      </c>
      <c r="AK61" s="120" t="b">
        <f t="shared" si="23"/>
        <v>0</v>
      </c>
    </row>
    <row r="62" spans="1:37" ht="14.4">
      <c r="A62" s="182" t="str">
        <f t="shared" si="24"/>
        <v>ZBTPSTN100VVE nieuwe aanleg</v>
      </c>
      <c r="B62" s="120" t="str">
        <f t="shared" si="25"/>
        <v>ZBTPSTNVVE nieuwe aanleg</v>
      </c>
      <c r="C62" s="133" t="s">
        <v>488</v>
      </c>
      <c r="D62" s="133" t="s">
        <v>463</v>
      </c>
      <c r="E62" s="133">
        <v>100</v>
      </c>
      <c r="F62" s="133" t="s">
        <v>4</v>
      </c>
      <c r="G62" s="133" t="s">
        <v>458</v>
      </c>
      <c r="H62" s="133" t="str">
        <f t="shared" ref="H62" si="34">D62&amp;F62</f>
        <v>PSTNVVA</v>
      </c>
      <c r="I62" s="120" t="str">
        <f t="shared" ref="I62" si="35">D62&amp;G62</f>
        <v>PSTNVVE nieuwe aanleg</v>
      </c>
      <c r="J62" s="493" t="str">
        <f>IF(D62="","",INDEX(Mapping!$H:$H,MATCH($H62,Mapping!$B:$B,0)))</f>
        <v>PSTNVVA</v>
      </c>
      <c r="K62" s="494" t="str">
        <f>IF(D62="","",INDEX(Mapping!$H:$H,MATCH($I62,Mapping!$B:$B,0)))</f>
        <v>PSTNVVE nieuwe aanleg</v>
      </c>
      <c r="L62" s="649">
        <f>MATCH(C62&amp;D62&amp;E62,'Tarieven ZM'!$B:$B,0)</f>
        <v>37</v>
      </c>
      <c r="M62" s="133">
        <f>INDEX('Tarieven ZM'!$F:$F,'Rekenblad Aansluiting'!$L62)</f>
        <v>100</v>
      </c>
      <c r="N62" s="133">
        <f>INDEX('Tarieven ZM'!$G:$H,'Rekenblad Aansluiting'!$L62,MATCH($G62,'Tarieven ZM'!$G$4:$H$4))</f>
        <v>100</v>
      </c>
      <c r="O62" s="136">
        <f>M62+N62/Parameters!$B$9</f>
        <v>102.77777777777777</v>
      </c>
      <c r="P62" s="495">
        <f>IF('Rekenblad Aansluiting'!D62="",0,INDEX('inkoop aansluitingen obv ULL'!E:E,MATCH(K62,'inkoop aansluitingen obv ULL'!B:B,0)))</f>
        <v>9.2350886055555534</v>
      </c>
      <c r="Q62" s="142">
        <f>IF('Rekenblad Aansluiting'!D62="",0,INDEX('inkoop aansluitingen obv ULL'!F:F,MATCH(K62,'inkoop aansluitingen obv ULL'!B:B,0)))</f>
        <v>76.89</v>
      </c>
      <c r="R62" s="136">
        <f>P62+Q62/'Parameters ULL'!$E$10</f>
        <v>11.370921938888888</v>
      </c>
      <c r="S62" s="138">
        <f>IF(RIGHT(C62,2)="CM",O62*MAX(Parameters!$B$2:$B$4),O62*Parameters!$B$3)</f>
        <v>10.277777777777779</v>
      </c>
      <c r="T62" s="142">
        <f>IF(RIGHT(C62,2)="CM",0,IF(LEFT(C62,2)="TZ",(('Vergoedingen grondslag'!$F$20+'Vergoedingen grondslag'!$I$20+'Vergoedingen grondslag'!$L$20+'Vergoedingen grondslag'!$O$20)*(M62)+('Vergoedingen grondslag'!$O$20*'Rekenblad Aansluiting'!$N62+'Vergoedingen grondslag'!$R$20+'Vergoedingen grondslag'!$U$20)/Parameters!$B$9),(('Vergoedingen grondslag'!$F$11+'Vergoedingen grondslag'!$I$11+'Vergoedingen grondslag'!$L$11+'Vergoedingen grondslag'!$O$11)*(M62))+('Vergoedingen grondslag'!$O$11*'Rekenblad Aansluiting'!$N62+'Vergoedingen grondslag'!$R$11+'Vergoedingen grondslag'!$U$11+'Vergoedingen grondslag'!$X$11)/36))</f>
        <v>4.1111111111111107</v>
      </c>
      <c r="U62" s="142">
        <f>M62*Parameters!$B$12</f>
        <v>0</v>
      </c>
      <c r="V62" s="136">
        <f t="shared" ref="V62" si="36">SUM(S62:U62)</f>
        <v>14.388888888888889</v>
      </c>
      <c r="W62" s="142">
        <f t="shared" ref="W62" si="37">R62+V62</f>
        <v>25.759810827777777</v>
      </c>
      <c r="X62" s="138">
        <f t="shared" ref="X62" si="38">O62-W62</f>
        <v>77.017966949999987</v>
      </c>
      <c r="Y62" s="145">
        <f t="shared" ref="Y62" si="39">X62/O62</f>
        <v>0.74936400275675663</v>
      </c>
      <c r="Z62" s="120" t="b">
        <f t="shared" ref="Z62" si="40">Y62&lt;0</f>
        <v>0</v>
      </c>
      <c r="AA62" s="331" t="s">
        <v>868</v>
      </c>
      <c r="AB62" s="4">
        <v>1</v>
      </c>
      <c r="AD62" s="445">
        <f>IF(RIGHT(C62,2)="CM",M62*MAX(Parameters!$B$2:$B$4),M62*Parameters!$B$3)</f>
        <v>10</v>
      </c>
      <c r="AE62" s="149">
        <f>IF(RIGHT(C62,2)="CM",0,IF(LEFT(C62,2)="TZ",(('Vergoedingen grondslag'!$F$20+'Vergoedingen grondslag'!$I$20+'Vergoedingen grondslag'!$L$20+'Vergoedingen grondslag'!$O$20)*(M62)+('Vergoedingen grondslag'!$O$20*'Rekenblad Aansluiting'!$N62*0+'Vergoedingen grondslag'!$R$20+'Vergoedingen grondslag'!$U$20)/Parameters!$B$9),(('Vergoedingen grondslag'!$F$11+'Vergoedingen grondslag'!$I$11+'Vergoedingen grondslag'!$L$11+'Vergoedingen grondslag'!$O$11)*(M62))+('Vergoedingen grondslag'!$O$11*'Rekenblad Aansluiting'!$N62*0+'Vergoedingen grondslag'!$R$11+'Vergoedingen grondslag'!$U$11+'Vergoedingen grondslag'!$X$11)/36))</f>
        <v>4.083333333333333</v>
      </c>
      <c r="AF62" s="652">
        <f>M62*Parameters!$B$12</f>
        <v>0</v>
      </c>
      <c r="AG62" s="774">
        <f t="shared" si="19"/>
        <v>14.083333333333332</v>
      </c>
      <c r="AH62" s="775">
        <f t="shared" si="20"/>
        <v>23.318421938888886</v>
      </c>
      <c r="AI62" s="447">
        <f t="shared" si="21"/>
        <v>76.681578061111111</v>
      </c>
      <c r="AJ62" s="173">
        <f t="shared" si="22"/>
        <v>0.76681578061111111</v>
      </c>
      <c r="AK62" s="120" t="b">
        <f t="shared" si="23"/>
        <v>0</v>
      </c>
    </row>
    <row r="63" spans="1:37" ht="14.4">
      <c r="A63" s="182" t="str">
        <f t="shared" ref="A63" si="41">C63&amp;D63&amp;E63&amp;G63</f>
        <v>ZBTPSTN100VVE overstap</v>
      </c>
      <c r="B63" s="120" t="str">
        <f t="shared" ref="B63" si="42">C63&amp;D63&amp;G63</f>
        <v>ZBTPSTNVVE overstap</v>
      </c>
      <c r="C63" s="133" t="s">
        <v>488</v>
      </c>
      <c r="D63" s="133" t="s">
        <v>463</v>
      </c>
      <c r="E63" s="133">
        <v>100</v>
      </c>
      <c r="F63" s="133" t="s">
        <v>4</v>
      </c>
      <c r="G63" s="133" t="s">
        <v>459</v>
      </c>
      <c r="H63" s="133" t="str">
        <f t="shared" ref="H63" si="43">D63&amp;F63</f>
        <v>PSTNVVA</v>
      </c>
      <c r="I63" s="120" t="str">
        <f t="shared" ref="I63" si="44">D63&amp;G63</f>
        <v>PSTNVVE overstap</v>
      </c>
      <c r="J63" s="493" t="str">
        <f>IF(D63="","",INDEX(Mapping!$H:$H,MATCH($H63,Mapping!$B:$B,0)))</f>
        <v>PSTNVVA</v>
      </c>
      <c r="K63" s="494" t="str">
        <f>IF(D63="","",INDEX(Mapping!$H:$H,MATCH($I63,Mapping!$B:$B,0)))</f>
        <v>PSTNVVE overstap</v>
      </c>
      <c r="L63" s="649">
        <f>MATCH(C63&amp;D63&amp;E63,'Tarieven ZM'!$B:$B,0)</f>
        <v>37</v>
      </c>
      <c r="M63" s="133">
        <f>INDEX('Tarieven ZM'!$F:$F,'Rekenblad Aansluiting'!$L63)</f>
        <v>100</v>
      </c>
      <c r="N63" s="133">
        <f>INDEX('Tarieven ZM'!$G:$H,'Rekenblad Aansluiting'!$L63,MATCH($G63,'Tarieven ZM'!$G$4:$H$4))</f>
        <v>100</v>
      </c>
      <c r="O63" s="136">
        <f>M63+N63/Parameters!$B$9</f>
        <v>102.77777777777777</v>
      </c>
      <c r="P63" s="495">
        <f>IF('Rekenblad Aansluiting'!D63="",0,INDEX('inkoop aansluitingen obv ULL'!E:E,MATCH(K63,'inkoop aansluitingen obv ULL'!B:B,0)))</f>
        <v>9.2350886055555534</v>
      </c>
      <c r="Q63" s="142">
        <f>IF('Rekenblad Aansluiting'!D63="",0,INDEX('inkoop aansluitingen obv ULL'!F:F,MATCH(K63,'inkoop aansluitingen obv ULL'!B:B,0)))</f>
        <v>19.29</v>
      </c>
      <c r="R63" s="136">
        <f>P63+Q63/'Parameters ULL'!$E$10</f>
        <v>9.7709219388888862</v>
      </c>
      <c r="S63" s="138">
        <f>IF(RIGHT(C63,2)="CM",O63*MAX(Parameters!$B$2:$B$4),O63*Parameters!$B$3)</f>
        <v>10.277777777777779</v>
      </c>
      <c r="T63" s="142">
        <f>IF(RIGHT(C63,2)="CM",0,IF(LEFT(C63,2)="TZ",(('Vergoedingen grondslag'!$F$20+'Vergoedingen grondslag'!$I$20+'Vergoedingen grondslag'!$L$20+'Vergoedingen grondslag'!$O$20)*(M63)+('Vergoedingen grondslag'!$O$20*'Rekenblad Aansluiting'!$N63+'Vergoedingen grondslag'!$R$20+'Vergoedingen grondslag'!$U$20)/Parameters!$B$9),(('Vergoedingen grondslag'!$F$11+'Vergoedingen grondslag'!$I$11+'Vergoedingen grondslag'!$L$11+'Vergoedingen grondslag'!$O$11)*(M63))+('Vergoedingen grondslag'!$O$11*'Rekenblad Aansluiting'!$N63+'Vergoedingen grondslag'!$R$11+'Vergoedingen grondslag'!$U$11+'Vergoedingen grondslag'!$X$11)/36))</f>
        <v>4.1111111111111107</v>
      </c>
      <c r="U63" s="142">
        <f>M63*Parameters!$B$12</f>
        <v>0</v>
      </c>
      <c r="V63" s="136">
        <f t="shared" ref="V63" si="45">SUM(S63:U63)</f>
        <v>14.388888888888889</v>
      </c>
      <c r="W63" s="142">
        <f t="shared" ref="W63" si="46">R63+V63</f>
        <v>24.159810827777775</v>
      </c>
      <c r="X63" s="138">
        <f t="shared" ref="X63" si="47">O63-W63</f>
        <v>78.617966949999996</v>
      </c>
      <c r="Y63" s="145">
        <f t="shared" ref="Y63" si="48">X63/O63</f>
        <v>0.76493157032432435</v>
      </c>
      <c r="Z63" s="120" t="b">
        <f t="shared" ref="Z63" si="49">Y63&lt;0</f>
        <v>0</v>
      </c>
      <c r="AA63" s="331" t="s">
        <v>868</v>
      </c>
      <c r="AB63" s="4">
        <v>1</v>
      </c>
      <c r="AD63" s="445">
        <f>IF(RIGHT(C63,2)="CM",M63*MAX(Parameters!$B$2:$B$4),M63*Parameters!$B$3)</f>
        <v>10</v>
      </c>
      <c r="AE63" s="149">
        <f>IF(RIGHT(C63,2)="CM",0,IF(LEFT(C63,2)="TZ",(('Vergoedingen grondslag'!$F$20+'Vergoedingen grondslag'!$I$20+'Vergoedingen grondslag'!$L$20+'Vergoedingen grondslag'!$O$20)*(M63)+('Vergoedingen grondslag'!$O$20*'Rekenblad Aansluiting'!$N63*0+'Vergoedingen grondslag'!$R$20+'Vergoedingen grondslag'!$U$20)/Parameters!$B$9),(('Vergoedingen grondslag'!$F$11+'Vergoedingen grondslag'!$I$11+'Vergoedingen grondslag'!$L$11+'Vergoedingen grondslag'!$O$11)*(M63))+('Vergoedingen grondslag'!$O$11*'Rekenblad Aansluiting'!$N63*0+'Vergoedingen grondslag'!$R$11+'Vergoedingen grondslag'!$U$11+'Vergoedingen grondslag'!$X$11)/36))</f>
        <v>4.083333333333333</v>
      </c>
      <c r="AF63" s="652">
        <f>M63*Parameters!$B$12</f>
        <v>0</v>
      </c>
      <c r="AG63" s="774">
        <f t="shared" ref="AG63" si="50">SUM(AD63:AF63)</f>
        <v>14.083333333333332</v>
      </c>
      <c r="AH63" s="775">
        <f t="shared" si="20"/>
        <v>23.318421938888886</v>
      </c>
      <c r="AI63" s="447">
        <f t="shared" ref="AI63" si="51">M63-AH63</f>
        <v>76.681578061111111</v>
      </c>
      <c r="AJ63" s="173">
        <f t="shared" ref="AJ63" si="52">AI63/M63</f>
        <v>0.76681578061111111</v>
      </c>
      <c r="AK63" s="120" t="b">
        <f t="shared" ref="AK63" si="53">AJ63&lt;0</f>
        <v>0</v>
      </c>
    </row>
    <row r="64" spans="1:37" ht="14.4">
      <c r="A64" s="182" t="str">
        <f t="shared" si="24"/>
        <v>ZBTISDN1100VVE nieuwe aanleg</v>
      </c>
      <c r="B64" s="120" t="str">
        <f t="shared" si="25"/>
        <v>ZBTISDN1VVE nieuwe aanleg</v>
      </c>
      <c r="C64" s="133" t="s">
        <v>488</v>
      </c>
      <c r="D64" s="133" t="s">
        <v>464</v>
      </c>
      <c r="E64" s="133">
        <v>100</v>
      </c>
      <c r="F64" s="133" t="s">
        <v>4</v>
      </c>
      <c r="G64" s="133" t="s">
        <v>458</v>
      </c>
      <c r="H64" s="133" t="str">
        <f>D64&amp;F64</f>
        <v>ISDN1VVA</v>
      </c>
      <c r="I64" s="120" t="str">
        <f>D64&amp;G64</f>
        <v>ISDN1VVE nieuwe aanleg</v>
      </c>
      <c r="J64" s="493" t="str">
        <f>IF(D64="","",INDEX(Mapping!$H:$H,MATCH($H64,Mapping!$B:$B,0)))</f>
        <v>ISDN1VVA</v>
      </c>
      <c r="K64" s="494" t="str">
        <f>IF(D64="","",INDEX(Mapping!$H:$H,MATCH($I64,Mapping!$B:$B,0)))</f>
        <v>ISDN1VVE nieuwe aanleg</v>
      </c>
      <c r="L64" s="649">
        <f>MATCH(C64&amp;D64&amp;E64,'Tarieven ZM'!$B:$B,0)</f>
        <v>38</v>
      </c>
      <c r="M64" s="133">
        <f>INDEX('Tarieven ZM'!$F:$F,'Rekenblad Aansluiting'!$L64)</f>
        <v>100</v>
      </c>
      <c r="N64" s="133">
        <f>INDEX('Tarieven ZM'!$G:$H,'Rekenblad Aansluiting'!$L64,MATCH($G64,'Tarieven ZM'!$G$4:$H$4))</f>
        <v>100</v>
      </c>
      <c r="O64" s="136">
        <f>M64+N64/Parameters!$B$9</f>
        <v>102.77777777777777</v>
      </c>
      <c r="P64" s="495">
        <f>IF('Rekenblad Aansluiting'!D64="",0,INDEX('inkoop aansluitingen obv ULL'!E:E,MATCH(K64,'inkoop aansluitingen obv ULL'!B:B,0)))</f>
        <v>9.2350886055555534</v>
      </c>
      <c r="Q64" s="142">
        <f>IF('Rekenblad Aansluiting'!D64="",0,INDEX('inkoop aansluitingen obv ULL'!F:F,MATCH(K64,'inkoop aansluitingen obv ULL'!B:B,0)))</f>
        <v>76.89</v>
      </c>
      <c r="R64" s="136">
        <f>P64+Q64/'Parameters ULL'!$E$10</f>
        <v>11.370921938888888</v>
      </c>
      <c r="S64" s="138">
        <f>IF(RIGHT(C64,2)="CM",O64*MAX(Parameters!$B$2:$B$4),O64*Parameters!$B$3)</f>
        <v>10.277777777777779</v>
      </c>
      <c r="T64" s="142">
        <f>IF(RIGHT(C64,2)="CM",0,IF(LEFT(C64,2)="TZ",(('Vergoedingen grondslag'!$F$20+'Vergoedingen grondslag'!$I$20+'Vergoedingen grondslag'!$L$20+'Vergoedingen grondslag'!$O$20)*(M64)+('Vergoedingen grondslag'!$O$20*'Rekenblad Aansluiting'!$N64+'Vergoedingen grondslag'!$R$20+'Vergoedingen grondslag'!$U$20)/Parameters!$B$9),(('Vergoedingen grondslag'!$F$11+'Vergoedingen grondslag'!$I$11+'Vergoedingen grondslag'!$L$11+'Vergoedingen grondslag'!$O$11)*(M64))+('Vergoedingen grondslag'!$O$11*'Rekenblad Aansluiting'!$N64+'Vergoedingen grondslag'!$R$11+'Vergoedingen grondslag'!$U$11+'Vergoedingen grondslag'!$X$11)/36))</f>
        <v>4.1111111111111107</v>
      </c>
      <c r="U64" s="142">
        <f>M64*Parameters!$B$12</f>
        <v>0</v>
      </c>
      <c r="V64" s="136">
        <f t="shared" si="28"/>
        <v>14.388888888888889</v>
      </c>
      <c r="W64" s="142">
        <f t="shared" si="29"/>
        <v>25.759810827777777</v>
      </c>
      <c r="X64" s="138">
        <f t="shared" si="30"/>
        <v>77.017966949999987</v>
      </c>
      <c r="Y64" s="145">
        <f t="shared" si="18"/>
        <v>0.74936400275675663</v>
      </c>
      <c r="Z64" s="120" t="b">
        <f t="shared" ref="Z64" si="54">Y64&lt;0</f>
        <v>0</v>
      </c>
      <c r="AA64" s="331" t="s">
        <v>868</v>
      </c>
      <c r="AB64" s="4">
        <v>1</v>
      </c>
      <c r="AD64" s="445">
        <f>IF(RIGHT(C64,2)="CM",M64*MAX(Parameters!$B$2:$B$4),M64*Parameters!$B$3)</f>
        <v>10</v>
      </c>
      <c r="AE64" s="149">
        <f>IF(RIGHT(C64,2)="CM",0,IF(LEFT(C64,2)="TZ",(('Vergoedingen grondslag'!$F$20+'Vergoedingen grondslag'!$I$20+'Vergoedingen grondslag'!$L$20+'Vergoedingen grondslag'!$O$20)*(M64)+('Vergoedingen grondslag'!$O$20*'Rekenblad Aansluiting'!$N64*0+'Vergoedingen grondslag'!$R$20+'Vergoedingen grondslag'!$U$20)/Parameters!$B$9),(('Vergoedingen grondslag'!$F$11+'Vergoedingen grondslag'!$I$11+'Vergoedingen grondslag'!$L$11+'Vergoedingen grondslag'!$O$11)*(M64))+('Vergoedingen grondslag'!$O$11*'Rekenblad Aansluiting'!$N64*0+'Vergoedingen grondslag'!$R$11+'Vergoedingen grondslag'!$U$11+'Vergoedingen grondslag'!$X$11)/36))</f>
        <v>4.083333333333333</v>
      </c>
      <c r="AF64" s="652">
        <f>M64*Parameters!$B$12</f>
        <v>0</v>
      </c>
      <c r="AG64" s="774">
        <f t="shared" ref="AG64:AG66" si="55">SUM(AD64:AF64)</f>
        <v>14.083333333333332</v>
      </c>
      <c r="AH64" s="775">
        <f t="shared" si="20"/>
        <v>23.318421938888886</v>
      </c>
      <c r="AI64" s="447">
        <f t="shared" ref="AI64:AI66" si="56">M64-AH64</f>
        <v>76.681578061111111</v>
      </c>
      <c r="AJ64" s="173">
        <f t="shared" ref="AJ64:AJ66" si="57">AI64/M64</f>
        <v>0.76681578061111111</v>
      </c>
      <c r="AK64" s="120" t="b">
        <f t="shared" ref="AK64:AK66" si="58">AJ64&lt;0</f>
        <v>0</v>
      </c>
    </row>
    <row r="65" spans="1:37" ht="14.4">
      <c r="A65" s="182" t="str">
        <f t="shared" si="24"/>
        <v>ZBTISDN1100VVE overstap</v>
      </c>
      <c r="B65" s="120" t="str">
        <f t="shared" si="25"/>
        <v>ZBTISDN1VVE overstap</v>
      </c>
      <c r="C65" s="133" t="s">
        <v>488</v>
      </c>
      <c r="D65" s="133" t="s">
        <v>464</v>
      </c>
      <c r="E65" s="133">
        <v>100</v>
      </c>
      <c r="F65" s="133" t="s">
        <v>4</v>
      </c>
      <c r="G65" s="133" t="s">
        <v>459</v>
      </c>
      <c r="H65" s="133" t="str">
        <f>D65&amp;F65</f>
        <v>ISDN1VVA</v>
      </c>
      <c r="I65" s="120" t="str">
        <f>D65&amp;G65</f>
        <v>ISDN1VVE overstap</v>
      </c>
      <c r="J65" s="493" t="str">
        <f>IF(D65="","",INDEX(Mapping!$H:$H,MATCH($H65,Mapping!$B:$B,0)))</f>
        <v>ISDN1VVA</v>
      </c>
      <c r="K65" s="494" t="str">
        <f>IF(D65="","",INDEX(Mapping!$H:$H,MATCH($I65,Mapping!$B:$B,0)))</f>
        <v>ISDN1VVE overstap</v>
      </c>
      <c r="L65" s="649">
        <f>MATCH(C65&amp;D65&amp;E65,'Tarieven ZM'!$B:$B,0)</f>
        <v>38</v>
      </c>
      <c r="M65" s="133">
        <f>INDEX('Tarieven ZM'!$F:$F,'Rekenblad Aansluiting'!$L65)</f>
        <v>100</v>
      </c>
      <c r="N65" s="133">
        <f>INDEX('Tarieven ZM'!$G:$H,'Rekenblad Aansluiting'!$L65,MATCH($G65,'Tarieven ZM'!$G$4:$H$4))</f>
        <v>100</v>
      </c>
      <c r="O65" s="136">
        <f>M65+N65/Parameters!$B$9</f>
        <v>102.77777777777777</v>
      </c>
      <c r="P65" s="495">
        <f>IF('Rekenblad Aansluiting'!D65="",0,INDEX('inkoop aansluitingen obv ULL'!E:E,MATCH(K65,'inkoop aansluitingen obv ULL'!B:B,0)))</f>
        <v>9.2350886055555534</v>
      </c>
      <c r="Q65" s="142">
        <f>IF('Rekenblad Aansluiting'!D65="",0,INDEX('inkoop aansluitingen obv ULL'!F:F,MATCH(K65,'inkoop aansluitingen obv ULL'!B:B,0)))</f>
        <v>19.29</v>
      </c>
      <c r="R65" s="136">
        <f>P65+Q65/'Parameters ULL'!$E$10</f>
        <v>9.7709219388888862</v>
      </c>
      <c r="S65" s="138">
        <f>IF(RIGHT(C65,2)="CM",O65*MAX(Parameters!$B$2:$B$4),O65*Parameters!$B$3)</f>
        <v>10.277777777777779</v>
      </c>
      <c r="T65" s="142">
        <f>IF(RIGHT(C65,2)="CM",0,IF(LEFT(C65,2)="TZ",(('Vergoedingen grondslag'!$F$20+'Vergoedingen grondslag'!$I$20+'Vergoedingen grondslag'!$L$20+'Vergoedingen grondslag'!$O$20)*(M65)+('Vergoedingen grondslag'!$O$20*'Rekenblad Aansluiting'!$N65+'Vergoedingen grondslag'!$R$20+'Vergoedingen grondslag'!$U$20)/Parameters!$B$9),(('Vergoedingen grondslag'!$F$11+'Vergoedingen grondslag'!$I$11+'Vergoedingen grondslag'!$L$11+'Vergoedingen grondslag'!$O$11)*(M65))+('Vergoedingen grondslag'!$O$11*'Rekenblad Aansluiting'!$N65+'Vergoedingen grondslag'!$R$11+'Vergoedingen grondslag'!$U$11+'Vergoedingen grondslag'!$X$11)/36))</f>
        <v>4.1111111111111107</v>
      </c>
      <c r="U65" s="142">
        <f>M65*Parameters!$B$12</f>
        <v>0</v>
      </c>
      <c r="V65" s="136">
        <f t="shared" si="28"/>
        <v>14.388888888888889</v>
      </c>
      <c r="W65" s="142">
        <f t="shared" si="29"/>
        <v>24.159810827777775</v>
      </c>
      <c r="X65" s="138">
        <f t="shared" si="30"/>
        <v>78.617966949999996</v>
      </c>
      <c r="Y65" s="145">
        <f t="shared" si="18"/>
        <v>0.76493157032432435</v>
      </c>
      <c r="Z65" s="120" t="b">
        <f t="shared" ref="Z65" si="59">Y65&lt;0</f>
        <v>0</v>
      </c>
      <c r="AA65" s="331" t="s">
        <v>868</v>
      </c>
      <c r="AB65" s="4">
        <v>1</v>
      </c>
      <c r="AD65" s="445">
        <f>IF(RIGHT(C65,2)="CM",M65*MAX(Parameters!$B$2:$B$4),M65*Parameters!$B$3)</f>
        <v>10</v>
      </c>
      <c r="AE65" s="149">
        <f>IF(RIGHT(C65,2)="CM",0,IF(LEFT(C65,2)="TZ",(('Vergoedingen grondslag'!$F$20+'Vergoedingen grondslag'!$I$20+'Vergoedingen grondslag'!$L$20+'Vergoedingen grondslag'!$O$20)*(M65)+('Vergoedingen grondslag'!$O$20*'Rekenblad Aansluiting'!$N65*0+'Vergoedingen grondslag'!$R$20+'Vergoedingen grondslag'!$U$20)/Parameters!$B$9),(('Vergoedingen grondslag'!$F$11+'Vergoedingen grondslag'!$I$11+'Vergoedingen grondslag'!$L$11+'Vergoedingen grondslag'!$O$11)*(M65))+('Vergoedingen grondslag'!$O$11*'Rekenblad Aansluiting'!$N65*0+'Vergoedingen grondslag'!$R$11+'Vergoedingen grondslag'!$U$11+'Vergoedingen grondslag'!$X$11)/36))</f>
        <v>4.083333333333333</v>
      </c>
      <c r="AF65" s="652">
        <f>M65*Parameters!$B$12</f>
        <v>0</v>
      </c>
      <c r="AG65" s="774">
        <f t="shared" si="55"/>
        <v>14.083333333333332</v>
      </c>
      <c r="AH65" s="775">
        <f t="shared" si="20"/>
        <v>23.318421938888886</v>
      </c>
      <c r="AI65" s="447">
        <f t="shared" si="56"/>
        <v>76.681578061111111</v>
      </c>
      <c r="AJ65" s="173">
        <f t="shared" si="57"/>
        <v>0.76681578061111111</v>
      </c>
      <c r="AK65" s="120" t="b">
        <f t="shared" si="58"/>
        <v>0</v>
      </c>
    </row>
    <row r="66" spans="1:37" ht="14.4">
      <c r="A66" s="182" t="str">
        <f t="shared" ref="A66:A67" si="60">C66&amp;D66&amp;E66&amp;G66</f>
        <v>ZBTISDN2100VVE nieuwe aanleg</v>
      </c>
      <c r="B66" s="120" t="str">
        <f t="shared" ref="B66:B67" si="61">C66&amp;D66&amp;G66</f>
        <v>ZBTISDN2VVE nieuwe aanleg</v>
      </c>
      <c r="C66" s="133" t="s">
        <v>488</v>
      </c>
      <c r="D66" s="133" t="s">
        <v>465</v>
      </c>
      <c r="E66" s="133">
        <v>100</v>
      </c>
      <c r="F66" s="133" t="s">
        <v>4</v>
      </c>
      <c r="G66" s="133" t="s">
        <v>458</v>
      </c>
      <c r="H66" s="133" t="str">
        <f t="shared" ref="H66" si="62">D66&amp;F66</f>
        <v>ISDN2VVA</v>
      </c>
      <c r="I66" s="120" t="str">
        <f t="shared" ref="I66" si="63">D66&amp;G66</f>
        <v>ISDN2VVE nieuwe aanleg</v>
      </c>
      <c r="J66" s="493" t="str">
        <f>IF(D66="","",INDEX(Mapping!$H:$H,MATCH($H66,Mapping!$B:$B,0)))</f>
        <v>ISDN2VVA</v>
      </c>
      <c r="K66" s="494" t="str">
        <f>IF(D66="","",INDEX(Mapping!$H:$H,MATCH($I66,Mapping!$B:$B,0)))</f>
        <v>ISDN2VVE nieuwe aanleg</v>
      </c>
      <c r="L66" s="649">
        <f>MATCH(C66&amp;D66&amp;E66,'Tarieven ZM'!$B:$B,0)</f>
        <v>39</v>
      </c>
      <c r="M66" s="133">
        <f>INDEX('Tarieven ZM'!$F:$F,'Rekenblad Aansluiting'!$L66)</f>
        <v>100</v>
      </c>
      <c r="N66" s="133">
        <f>INDEX('Tarieven ZM'!$G:$H,'Rekenblad Aansluiting'!$L66,MATCH($G66,'Tarieven ZM'!$G$4:$H$4))</f>
        <v>100</v>
      </c>
      <c r="O66" s="136">
        <f>M66+N66/Parameters!$B$9</f>
        <v>102.77777777777777</v>
      </c>
      <c r="P66" s="495">
        <f>IF('Rekenblad Aansluiting'!D66="",0,INDEX('inkoop aansluitingen obv ULL'!E:E,MATCH(K66,'inkoop aansluitingen obv ULL'!B:B,0)))</f>
        <v>9.2350886055555534</v>
      </c>
      <c r="Q66" s="142">
        <f>IF('Rekenblad Aansluiting'!D66="",0,INDEX('inkoop aansluitingen obv ULL'!F:F,MATCH(K66,'inkoop aansluitingen obv ULL'!B:B,0)))</f>
        <v>76.89</v>
      </c>
      <c r="R66" s="136">
        <f>P66+Q66/'Parameters ULL'!$E$10</f>
        <v>11.370921938888888</v>
      </c>
      <c r="S66" s="138">
        <f>IF(RIGHT(C66,2)="CM",O66*MAX(Parameters!$B$2:$B$4),O66*Parameters!$B$3)</f>
        <v>10.277777777777779</v>
      </c>
      <c r="T66" s="142">
        <f>IF(RIGHT(C66,2)="CM",0,IF(LEFT(C66,2)="TZ",(('Vergoedingen grondslag'!$F$20+'Vergoedingen grondslag'!$I$20+'Vergoedingen grondslag'!$L$20+'Vergoedingen grondslag'!$O$20)*(M66)+('Vergoedingen grondslag'!$O$20*'Rekenblad Aansluiting'!$N66+'Vergoedingen grondslag'!$R$20+'Vergoedingen grondslag'!$U$20)/Parameters!$B$9),(('Vergoedingen grondslag'!$F$11+'Vergoedingen grondslag'!$I$11+'Vergoedingen grondslag'!$L$11+'Vergoedingen grondslag'!$O$11)*(M66))+('Vergoedingen grondslag'!$O$11*'Rekenblad Aansluiting'!$N66+'Vergoedingen grondslag'!$R$11+'Vergoedingen grondslag'!$U$11+'Vergoedingen grondslag'!$X$11)/36))</f>
        <v>4.1111111111111107</v>
      </c>
      <c r="U66" s="142">
        <f>M66*Parameters!$B$12</f>
        <v>0</v>
      </c>
      <c r="V66" s="136">
        <f t="shared" ref="V66:V67" si="64">SUM(S66:U66)</f>
        <v>14.388888888888889</v>
      </c>
      <c r="W66" s="142">
        <f t="shared" ref="W66:W67" si="65">R66+V66</f>
        <v>25.759810827777777</v>
      </c>
      <c r="X66" s="138">
        <f t="shared" ref="X66:X67" si="66">O66-W66</f>
        <v>77.017966949999987</v>
      </c>
      <c r="Y66" s="145">
        <f t="shared" ref="Y66:Y67" si="67">X66/O66</f>
        <v>0.74936400275675663</v>
      </c>
      <c r="Z66" s="120" t="b">
        <f t="shared" ref="Z66" si="68">Y66&lt;0</f>
        <v>0</v>
      </c>
      <c r="AA66" s="331" t="s">
        <v>868</v>
      </c>
      <c r="AB66" s="4">
        <v>1</v>
      </c>
      <c r="AD66" s="445">
        <f>IF(RIGHT(C66,2)="CM",M66*MAX(Parameters!$B$2:$B$4),M66*Parameters!$B$3)</f>
        <v>10</v>
      </c>
      <c r="AE66" s="149">
        <f>IF(RIGHT(C66,2)="CM",0,IF(LEFT(C66,2)="TZ",(('Vergoedingen grondslag'!$F$20+'Vergoedingen grondslag'!$I$20+'Vergoedingen grondslag'!$L$20+'Vergoedingen grondslag'!$O$20)*(M66)+('Vergoedingen grondslag'!$O$20*'Rekenblad Aansluiting'!$N66*0+'Vergoedingen grondslag'!$R$20+'Vergoedingen grondslag'!$U$20)/Parameters!$B$9),(('Vergoedingen grondslag'!$F$11+'Vergoedingen grondslag'!$I$11+'Vergoedingen grondslag'!$L$11+'Vergoedingen grondslag'!$O$11)*(M66))+('Vergoedingen grondslag'!$O$11*'Rekenblad Aansluiting'!$N66*0+'Vergoedingen grondslag'!$R$11+'Vergoedingen grondslag'!$U$11+'Vergoedingen grondslag'!$X$11)/36))</f>
        <v>4.083333333333333</v>
      </c>
      <c r="AF66" s="652">
        <f>M66*Parameters!$B$12</f>
        <v>0</v>
      </c>
      <c r="AG66" s="774">
        <f t="shared" si="55"/>
        <v>14.083333333333332</v>
      </c>
      <c r="AH66" s="775">
        <f t="shared" si="20"/>
        <v>23.318421938888886</v>
      </c>
      <c r="AI66" s="447">
        <f t="shared" si="56"/>
        <v>76.681578061111111</v>
      </c>
      <c r="AJ66" s="173">
        <f t="shared" si="57"/>
        <v>0.76681578061111111</v>
      </c>
      <c r="AK66" s="120" t="b">
        <f t="shared" si="58"/>
        <v>0</v>
      </c>
    </row>
    <row r="67" spans="1:37" ht="14.4">
      <c r="A67" s="182" t="str">
        <f t="shared" si="60"/>
        <v>ZBTISDN2100VVE overstap</v>
      </c>
      <c r="B67" s="120" t="str">
        <f t="shared" si="61"/>
        <v>ZBTISDN2VVE overstap</v>
      </c>
      <c r="C67" s="133" t="s">
        <v>488</v>
      </c>
      <c r="D67" s="133" t="s">
        <v>465</v>
      </c>
      <c r="E67" s="133">
        <v>100</v>
      </c>
      <c r="F67" s="133" t="s">
        <v>4</v>
      </c>
      <c r="G67" s="133" t="s">
        <v>459</v>
      </c>
      <c r="H67" s="133" t="str">
        <f t="shared" ref="H67" si="69">D67&amp;F67</f>
        <v>ISDN2VVA</v>
      </c>
      <c r="I67" s="120" t="str">
        <f t="shared" ref="I67" si="70">D67&amp;G67</f>
        <v>ISDN2VVE overstap</v>
      </c>
      <c r="J67" s="493" t="str">
        <f>IF(D67="","",INDEX(Mapping!$H:$H,MATCH($H67,Mapping!$B:$B,0)))</f>
        <v>ISDN2VVA</v>
      </c>
      <c r="K67" s="494" t="str">
        <f>IF(D67="","",INDEX(Mapping!$H:$H,MATCH($I67,Mapping!$B:$B,0)))</f>
        <v>ISDN2VVE overstap</v>
      </c>
      <c r="L67" s="649">
        <f>MATCH(C67&amp;D67&amp;E67,'Tarieven ZM'!$B:$B,0)</f>
        <v>39</v>
      </c>
      <c r="M67" s="133">
        <f>INDEX('Tarieven ZM'!$F:$F,'Rekenblad Aansluiting'!$L67)</f>
        <v>100</v>
      </c>
      <c r="N67" s="133">
        <f>INDEX('Tarieven ZM'!$G:$H,'Rekenblad Aansluiting'!$L67,MATCH($G67,'Tarieven ZM'!$G$4:$H$4))</f>
        <v>100</v>
      </c>
      <c r="O67" s="136">
        <f>M67+N67/Parameters!$B$9</f>
        <v>102.77777777777777</v>
      </c>
      <c r="P67" s="495">
        <f>IF('Rekenblad Aansluiting'!D67="",0,INDEX('inkoop aansluitingen obv ULL'!E:E,MATCH(K67,'inkoop aansluitingen obv ULL'!B:B,0)))</f>
        <v>9.2350886055555534</v>
      </c>
      <c r="Q67" s="142">
        <f>IF('Rekenblad Aansluiting'!D67="",0,INDEX('inkoop aansluitingen obv ULL'!F:F,MATCH(K67,'inkoop aansluitingen obv ULL'!B:B,0)))</f>
        <v>19.29</v>
      </c>
      <c r="R67" s="136">
        <f>P67+Q67/'Parameters ULL'!$E$10</f>
        <v>9.7709219388888862</v>
      </c>
      <c r="S67" s="138">
        <f>IF(RIGHT(C67,2)="CM",O67*MAX(Parameters!$B$2:$B$4),O67*Parameters!$B$3)</f>
        <v>10.277777777777779</v>
      </c>
      <c r="T67" s="142">
        <f>IF(RIGHT(C67,2)="CM",0,IF(LEFT(C67,2)="TZ",(('Vergoedingen grondslag'!$F$20+'Vergoedingen grondslag'!$I$20+'Vergoedingen grondslag'!$L$20+'Vergoedingen grondslag'!$O$20)*(M67)+('Vergoedingen grondslag'!$O$20*'Rekenblad Aansluiting'!$N67+'Vergoedingen grondslag'!$R$20+'Vergoedingen grondslag'!$U$20)/Parameters!$B$9),(('Vergoedingen grondslag'!$F$11+'Vergoedingen grondslag'!$I$11+'Vergoedingen grondslag'!$L$11+'Vergoedingen grondslag'!$O$11)*(M67))+('Vergoedingen grondslag'!$O$11*'Rekenblad Aansluiting'!$N67+'Vergoedingen grondslag'!$R$11+'Vergoedingen grondslag'!$U$11+'Vergoedingen grondslag'!$X$11)/36))</f>
        <v>4.1111111111111107</v>
      </c>
      <c r="U67" s="142">
        <f>M67*Parameters!$B$12</f>
        <v>0</v>
      </c>
      <c r="V67" s="136">
        <f t="shared" si="64"/>
        <v>14.388888888888889</v>
      </c>
      <c r="W67" s="142">
        <f t="shared" si="65"/>
        <v>24.159810827777775</v>
      </c>
      <c r="X67" s="138">
        <f t="shared" si="66"/>
        <v>78.617966949999996</v>
      </c>
      <c r="Y67" s="145">
        <f t="shared" si="67"/>
        <v>0.76493157032432435</v>
      </c>
      <c r="Z67" s="120" t="b">
        <f t="shared" ref="Z67" si="71">Y67&lt;0</f>
        <v>0</v>
      </c>
      <c r="AA67" s="331" t="s">
        <v>868</v>
      </c>
      <c r="AB67" s="4">
        <v>1</v>
      </c>
      <c r="AD67" s="445">
        <f>IF(RIGHT(C67,2)="CM",M67*MAX(Parameters!$B$2:$B$4),M67*Parameters!$B$3)</f>
        <v>10</v>
      </c>
      <c r="AE67" s="149">
        <f>IF(RIGHT(C67,2)="CM",0,IF(LEFT(C67,2)="TZ",(('Vergoedingen grondslag'!$F$20+'Vergoedingen grondslag'!$I$20+'Vergoedingen grondslag'!$L$20+'Vergoedingen grondslag'!$O$20)*(M67)+('Vergoedingen grondslag'!$O$20*'Rekenblad Aansluiting'!$N67*0+'Vergoedingen grondslag'!$R$20+'Vergoedingen grondslag'!$U$20)/Parameters!$B$9),(('Vergoedingen grondslag'!$F$11+'Vergoedingen grondslag'!$I$11+'Vergoedingen grondslag'!$L$11+'Vergoedingen grondslag'!$O$11)*(M67))+('Vergoedingen grondslag'!$O$11*'Rekenblad Aansluiting'!$N67*0+'Vergoedingen grondslag'!$R$11+'Vergoedingen grondslag'!$U$11+'Vergoedingen grondslag'!$X$11)/36))</f>
        <v>4.083333333333333</v>
      </c>
      <c r="AF67" s="652">
        <f>M67*Parameters!$B$12</f>
        <v>0</v>
      </c>
      <c r="AG67" s="774">
        <f t="shared" ref="AG67" si="72">SUM(AD67:AF67)</f>
        <v>14.083333333333332</v>
      </c>
      <c r="AH67" s="775">
        <f t="shared" si="20"/>
        <v>23.318421938888886</v>
      </c>
      <c r="AI67" s="447">
        <f t="shared" ref="AI67" si="73">M67-AH67</f>
        <v>76.681578061111111</v>
      </c>
      <c r="AJ67" s="173">
        <f t="shared" ref="AJ67" si="74">AI67/M67</f>
        <v>0.76681578061111111</v>
      </c>
      <c r="AK67" s="120" t="b">
        <f t="shared" ref="AK67" si="75">AJ67&lt;0</f>
        <v>0</v>
      </c>
    </row>
    <row r="68" spans="1:37" ht="14.4">
      <c r="A68" s="182" t="str">
        <f t="shared" ref="A68" si="76">C68&amp;D68&amp;E68&amp;G68</f>
        <v>ZBTISDN15100VVE nieuwe aanleg</v>
      </c>
      <c r="B68" s="120" t="str">
        <f t="shared" ref="B68" si="77">C68&amp;D68&amp;G68</f>
        <v>ZBTISDN15VVE nieuwe aanleg</v>
      </c>
      <c r="C68" s="133" t="s">
        <v>488</v>
      </c>
      <c r="D68" s="133" t="s">
        <v>466</v>
      </c>
      <c r="E68" s="133">
        <v>100</v>
      </c>
      <c r="F68" s="133" t="s">
        <v>4</v>
      </c>
      <c r="G68" s="133" t="s">
        <v>458</v>
      </c>
      <c r="H68" s="133" t="str">
        <f t="shared" ref="H68" si="78">D68&amp;F68</f>
        <v>ISDN15VVA</v>
      </c>
      <c r="I68" s="120" t="str">
        <f t="shared" ref="I68" si="79">D68&amp;G68</f>
        <v>ISDN15VVE nieuwe aanleg</v>
      </c>
      <c r="J68" s="493" t="str">
        <f>IF(D68="","",INDEX(Mapping!$H:$H,MATCH($H68,Mapping!$B:$B,0)))</f>
        <v>ISDN15VVA</v>
      </c>
      <c r="K68" s="494" t="str">
        <f>IF(D68="","",INDEX(Mapping!$H:$H,MATCH($I68,Mapping!$B:$B,0)))</f>
        <v>ISDN15VVE nieuwe aanleg</v>
      </c>
      <c r="L68" s="649">
        <f>MATCH(C68&amp;D68&amp;E68,'Tarieven ZM'!$B:$B,0)</f>
        <v>40</v>
      </c>
      <c r="M68" s="133">
        <f>INDEX('Tarieven ZM'!$F:$F,'Rekenblad Aansluiting'!$L68)</f>
        <v>100</v>
      </c>
      <c r="N68" s="133">
        <f>INDEX('Tarieven ZM'!$G:$H,'Rekenblad Aansluiting'!$L68,MATCH($G68,'Tarieven ZM'!$G$4:$H$4))</f>
        <v>100</v>
      </c>
      <c r="O68" s="136">
        <f>M68+N68/Parameters!$B$9</f>
        <v>102.77777777777777</v>
      </c>
      <c r="P68" s="495">
        <f>IF('Rekenblad Aansluiting'!D68="",0,INDEX('inkoop aansluitingen obv ULL'!E:E,MATCH(K68,'inkoop aansluitingen obv ULL'!B:B,0)))</f>
        <v>18.738178527777777</v>
      </c>
      <c r="Q68" s="142">
        <f>IF('Rekenblad Aansluiting'!D68="",0,INDEX('inkoop aansluitingen obv ULL'!F:F,MATCH(K68,'inkoop aansluitingen obv ULL'!B:B,0)))</f>
        <v>153.78</v>
      </c>
      <c r="R68" s="136">
        <f>P68+Q68/'Parameters ULL'!$E$10</f>
        <v>23.009845194444445</v>
      </c>
      <c r="S68" s="138">
        <f>IF(RIGHT(C68,2)="CM",O68*MAX(Parameters!$B$2:$B$4),O68*Parameters!$B$3)</f>
        <v>10.277777777777779</v>
      </c>
      <c r="T68" s="142">
        <f>IF(RIGHT(C68,2)="CM",0,IF(LEFT(C68,2)="TZ",(('Vergoedingen grondslag'!$F$20+'Vergoedingen grondslag'!$I$20+'Vergoedingen grondslag'!$L$20+'Vergoedingen grondslag'!$O$20)*(M68)+('Vergoedingen grondslag'!$O$20*'Rekenblad Aansluiting'!$N68+'Vergoedingen grondslag'!$R$20+'Vergoedingen grondslag'!$U$20)/Parameters!$B$9),(('Vergoedingen grondslag'!$F$11+'Vergoedingen grondslag'!$I$11+'Vergoedingen grondslag'!$L$11+'Vergoedingen grondslag'!$O$11)*(M68))+('Vergoedingen grondslag'!$O$11*'Rekenblad Aansluiting'!$N68+'Vergoedingen grondslag'!$R$11+'Vergoedingen grondslag'!$U$11+'Vergoedingen grondslag'!$X$11)/36))</f>
        <v>4.1111111111111107</v>
      </c>
      <c r="U68" s="142">
        <f>M68*Parameters!$B$12</f>
        <v>0</v>
      </c>
      <c r="V68" s="136">
        <f t="shared" ref="V68" si="80">SUM(S68:U68)</f>
        <v>14.388888888888889</v>
      </c>
      <c r="W68" s="142">
        <f t="shared" ref="W68" si="81">R68+V68</f>
        <v>37.398734083333338</v>
      </c>
      <c r="X68" s="138">
        <f t="shared" ref="X68" si="82">O68-W68</f>
        <v>65.379043694444434</v>
      </c>
      <c r="Y68" s="145">
        <f t="shared" ref="Y68" si="83">X68/O68</f>
        <v>0.63612042513513511</v>
      </c>
      <c r="Z68" s="120" t="b">
        <f t="shared" ref="Z68" si="84">Y68&lt;0</f>
        <v>0</v>
      </c>
      <c r="AA68" s="331" t="s">
        <v>868</v>
      </c>
      <c r="AB68" s="4">
        <v>1</v>
      </c>
      <c r="AD68" s="445">
        <f>IF(RIGHT(C68,2)="CM",M68*MAX(Parameters!$B$2:$B$4),M68*Parameters!$B$3)</f>
        <v>10</v>
      </c>
      <c r="AE68" s="149">
        <f>IF(RIGHT(C68,2)="CM",0,IF(LEFT(C68,2)="TZ",(('Vergoedingen grondslag'!$F$20+'Vergoedingen grondslag'!$I$20+'Vergoedingen grondslag'!$L$20+'Vergoedingen grondslag'!$O$20)*(M68)+('Vergoedingen grondslag'!$O$20*'Rekenblad Aansluiting'!$N68*0+'Vergoedingen grondslag'!$R$20+'Vergoedingen grondslag'!$U$20)/Parameters!$B$9),(('Vergoedingen grondslag'!$F$11+'Vergoedingen grondslag'!$I$11+'Vergoedingen grondslag'!$L$11+'Vergoedingen grondslag'!$O$11)*(M68))+('Vergoedingen grondslag'!$O$11*'Rekenblad Aansluiting'!$N68*0+'Vergoedingen grondslag'!$R$11+'Vergoedingen grondslag'!$U$11+'Vergoedingen grondslag'!$X$11)/36))</f>
        <v>4.083333333333333</v>
      </c>
      <c r="AF68" s="652">
        <f>M68*Parameters!$B$12</f>
        <v>0</v>
      </c>
      <c r="AG68" s="774">
        <f t="shared" ref="AG68" si="85">SUM(AD68:AF68)</f>
        <v>14.083333333333332</v>
      </c>
      <c r="AH68" s="775">
        <f t="shared" si="20"/>
        <v>32.821511861111105</v>
      </c>
      <c r="AI68" s="447">
        <f t="shared" ref="AI68" si="86">M68-AH68</f>
        <v>67.178488138888895</v>
      </c>
      <c r="AJ68" s="173">
        <f t="shared" ref="AJ68" si="87">AI68/M68</f>
        <v>0.67178488138888892</v>
      </c>
      <c r="AK68" s="120" t="b">
        <f t="shared" ref="AK68" si="88">AJ68&lt;0</f>
        <v>0</v>
      </c>
    </row>
    <row r="69" spans="1:37" ht="14.4">
      <c r="A69" s="182" t="str">
        <f t="shared" ref="A69" si="89">C69&amp;D69&amp;E69&amp;G69</f>
        <v>ZBTISDN20100VVE nieuwe aanleg</v>
      </c>
      <c r="B69" s="120" t="str">
        <f t="shared" ref="B69" si="90">C69&amp;D69&amp;G69</f>
        <v>ZBTISDN20VVE nieuwe aanleg</v>
      </c>
      <c r="C69" s="133" t="s">
        <v>488</v>
      </c>
      <c r="D69" s="133" t="s">
        <v>468</v>
      </c>
      <c r="E69" s="133">
        <v>100</v>
      </c>
      <c r="F69" s="133" t="s">
        <v>4</v>
      </c>
      <c r="G69" s="133" t="s">
        <v>458</v>
      </c>
      <c r="H69" s="133" t="str">
        <f t="shared" ref="H69" si="91">D69&amp;F69</f>
        <v>ISDN20VVA</v>
      </c>
      <c r="I69" s="120" t="str">
        <f t="shared" ref="I69" si="92">D69&amp;G69</f>
        <v>ISDN20VVE nieuwe aanleg</v>
      </c>
      <c r="J69" s="493" t="str">
        <f>IF(D69="","",INDEX(Mapping!$H:$H,MATCH($H69,Mapping!$B:$B,0)))</f>
        <v>ISDN20VVA</v>
      </c>
      <c r="K69" s="494" t="str">
        <f>IF(D69="","",INDEX(Mapping!$H:$H,MATCH($I69,Mapping!$B:$B,0)))</f>
        <v>ISDN20VVE nieuwe aanleg</v>
      </c>
      <c r="L69" s="649">
        <f>MATCH(C69&amp;D69&amp;E69,'Tarieven ZM'!$B:$B,0)</f>
        <v>41</v>
      </c>
      <c r="M69" s="133">
        <f>INDEX('Tarieven ZM'!$F:$F,'Rekenblad Aansluiting'!$L69)</f>
        <v>100</v>
      </c>
      <c r="N69" s="133">
        <f>INDEX('Tarieven ZM'!$G:$H,'Rekenblad Aansluiting'!$L69,MATCH($G69,'Tarieven ZM'!$G$4:$H$4))</f>
        <v>100</v>
      </c>
      <c r="O69" s="136">
        <f>M69+N69/Parameters!$B$9</f>
        <v>102.77777777777777</v>
      </c>
      <c r="P69" s="495">
        <f>IF('Rekenblad Aansluiting'!D69="",0,INDEX('inkoop aansluitingen obv ULL'!E:E,MATCH(K69,'inkoop aansluitingen obv ULL'!B:B,0)))</f>
        <v>18.738178527777777</v>
      </c>
      <c r="Q69" s="142">
        <f>IF('Rekenblad Aansluiting'!D69="",0,INDEX('inkoop aansluitingen obv ULL'!F:F,MATCH(K69,'inkoop aansluitingen obv ULL'!B:B,0)))</f>
        <v>153.78</v>
      </c>
      <c r="R69" s="136">
        <f>P69+Q69/'Parameters ULL'!$E$10</f>
        <v>23.009845194444445</v>
      </c>
      <c r="S69" s="138">
        <f>IF(RIGHT(C69,2)="CM",O69*MAX(Parameters!$B$2:$B$4),O69*Parameters!$B$3)</f>
        <v>10.277777777777779</v>
      </c>
      <c r="T69" s="142">
        <f>IF(RIGHT(C69,2)="CM",0,IF(LEFT(C69,2)="TZ",(('Vergoedingen grondslag'!$F$20+'Vergoedingen grondslag'!$I$20+'Vergoedingen grondslag'!$L$20+'Vergoedingen grondslag'!$O$20)*(M69)+('Vergoedingen grondslag'!$O$20*'Rekenblad Aansluiting'!$N69+'Vergoedingen grondslag'!$R$20+'Vergoedingen grondslag'!$U$20)/Parameters!$B$9),(('Vergoedingen grondslag'!$F$11+'Vergoedingen grondslag'!$I$11+'Vergoedingen grondslag'!$L$11+'Vergoedingen grondslag'!$O$11)*(M69))+('Vergoedingen grondslag'!$O$11*'Rekenblad Aansluiting'!$N69+'Vergoedingen grondslag'!$R$11+'Vergoedingen grondslag'!$U$11+'Vergoedingen grondslag'!$X$11)/36))</f>
        <v>4.1111111111111107</v>
      </c>
      <c r="U69" s="142">
        <f>M69*Parameters!$B$12</f>
        <v>0</v>
      </c>
      <c r="V69" s="136">
        <f t="shared" ref="V69" si="93">SUM(S69:U69)</f>
        <v>14.388888888888889</v>
      </c>
      <c r="W69" s="142">
        <f t="shared" ref="W69" si="94">R69+V69</f>
        <v>37.398734083333338</v>
      </c>
      <c r="X69" s="138">
        <f t="shared" ref="X69" si="95">O69-W69</f>
        <v>65.379043694444434</v>
      </c>
      <c r="Y69" s="145">
        <f t="shared" ref="Y69" si="96">X69/O69</f>
        <v>0.63612042513513511</v>
      </c>
      <c r="Z69" s="120" t="b">
        <f t="shared" ref="Z69" si="97">Y69&lt;0</f>
        <v>0</v>
      </c>
      <c r="AA69" s="331" t="s">
        <v>868</v>
      </c>
      <c r="AB69" s="4">
        <v>1</v>
      </c>
      <c r="AD69" s="445">
        <f>IF(RIGHT(C69,2)="CM",M69*MAX(Parameters!$B$2:$B$4),M69*Parameters!$B$3)</f>
        <v>10</v>
      </c>
      <c r="AE69" s="149">
        <f>IF(RIGHT(C69,2)="CM",0,IF(LEFT(C69,2)="TZ",(('Vergoedingen grondslag'!$F$20+'Vergoedingen grondslag'!$I$20+'Vergoedingen grondslag'!$L$20+'Vergoedingen grondslag'!$O$20)*(M69)+('Vergoedingen grondslag'!$O$20*'Rekenblad Aansluiting'!$N69*0+'Vergoedingen grondslag'!$R$20+'Vergoedingen grondslag'!$U$20)/Parameters!$B$9),(('Vergoedingen grondslag'!$F$11+'Vergoedingen grondslag'!$I$11+'Vergoedingen grondslag'!$L$11+'Vergoedingen grondslag'!$O$11)*(M69))+('Vergoedingen grondslag'!$O$11*'Rekenblad Aansluiting'!$N69*0+'Vergoedingen grondslag'!$R$11+'Vergoedingen grondslag'!$U$11+'Vergoedingen grondslag'!$X$11)/36))</f>
        <v>4.083333333333333</v>
      </c>
      <c r="AF69" s="652">
        <f>M69*Parameters!$B$12</f>
        <v>0</v>
      </c>
      <c r="AG69" s="774">
        <f t="shared" ref="AG69" si="98">SUM(AD69:AF69)</f>
        <v>14.083333333333332</v>
      </c>
      <c r="AH69" s="775">
        <f t="shared" si="20"/>
        <v>32.821511861111105</v>
      </c>
      <c r="AI69" s="447">
        <f t="shared" ref="AI69" si="99">M69-AH69</f>
        <v>67.178488138888895</v>
      </c>
      <c r="AJ69" s="173">
        <f t="shared" ref="AJ69" si="100">AI69/M69</f>
        <v>0.67178488138888892</v>
      </c>
      <c r="AK69" s="120" t="b">
        <f t="shared" ref="AK69" si="101">AJ69&lt;0</f>
        <v>0</v>
      </c>
    </row>
    <row r="70" spans="1:37" ht="14.4">
      <c r="A70" s="182" t="str">
        <f t="shared" ref="A70" si="102">C70&amp;D70&amp;E70&amp;G70</f>
        <v>ZBTISDN30 eerste aansluiting100VVE nieuwe aanleg</v>
      </c>
      <c r="B70" s="120" t="str">
        <f t="shared" ref="B70" si="103">C70&amp;D70&amp;G70</f>
        <v>ZBTISDN30 eerste aansluitingVVE nieuwe aanleg</v>
      </c>
      <c r="C70" s="133" t="s">
        <v>488</v>
      </c>
      <c r="D70" s="133" t="s">
        <v>869</v>
      </c>
      <c r="E70" s="133">
        <v>100</v>
      </c>
      <c r="F70" s="133" t="s">
        <v>4</v>
      </c>
      <c r="G70" s="133" t="s">
        <v>458</v>
      </c>
      <c r="H70" s="133" t="str">
        <f t="shared" ref="H70" si="104">D70&amp;F70</f>
        <v>ISDN30 eerste aansluitingVVA</v>
      </c>
      <c r="I70" s="120" t="str">
        <f t="shared" ref="I70" si="105">D70&amp;G70</f>
        <v>ISDN30 eerste aansluitingVVE nieuwe aanleg</v>
      </c>
      <c r="J70" s="493" t="str">
        <f>IF(D70="","",INDEX(Mapping!$H:$H,MATCH($H70,Mapping!$B:$B,0)))</f>
        <v>ISDN30 eerste aansluitingVVA</v>
      </c>
      <c r="K70" s="494" t="str">
        <f>IF(D70="","",INDEX(Mapping!$H:$H,MATCH($I70,Mapping!$B:$B,0)))</f>
        <v>ISDN30 eerste aansluitingVVE nieuwe aanleg</v>
      </c>
      <c r="L70" s="649">
        <f>MATCH(C70&amp;D70&amp;E70,'Tarieven ZM'!$B:$B,0)</f>
        <v>42</v>
      </c>
      <c r="M70" s="133">
        <f>INDEX('Tarieven ZM'!$F:$F,'Rekenblad Aansluiting'!$L70)</f>
        <v>100</v>
      </c>
      <c r="N70" s="133">
        <f>INDEX('Tarieven ZM'!$G:$H,'Rekenblad Aansluiting'!$L70,MATCH($G70,'Tarieven ZM'!$G$4:$H$4))</f>
        <v>100</v>
      </c>
      <c r="O70" s="136">
        <f>M70+N70/Parameters!$B$9</f>
        <v>102.77777777777777</v>
      </c>
      <c r="P70" s="495">
        <f>IF('Rekenblad Aansluiting'!D70="",0,INDEX('inkoop aansluitingen obv ULL'!E:E,MATCH(K70,'inkoop aansluitingen obv ULL'!B:B,0)))</f>
        <v>18.738178527777777</v>
      </c>
      <c r="Q70" s="142">
        <f>IF('Rekenblad Aansluiting'!D70="",0,INDEX('inkoop aansluitingen obv ULL'!F:F,MATCH(K70,'inkoop aansluitingen obv ULL'!B:B,0)))</f>
        <v>153.78</v>
      </c>
      <c r="R70" s="136">
        <f>P70+Q70/'Parameters ULL'!$E$10</f>
        <v>23.009845194444445</v>
      </c>
      <c r="S70" s="138">
        <f>IF(RIGHT(C70,2)="CM",O70*MAX(Parameters!$B$2:$B$4),O70*Parameters!$B$3)</f>
        <v>10.277777777777779</v>
      </c>
      <c r="T70" s="142">
        <f>IF(RIGHT(C70,2)="CM",0,IF(LEFT(C70,2)="TZ",(('Vergoedingen grondslag'!$F$20+'Vergoedingen grondslag'!$I$20+'Vergoedingen grondslag'!$L$20+'Vergoedingen grondslag'!$O$20)*(M70)+('Vergoedingen grondslag'!$O$20*'Rekenblad Aansluiting'!$N70+'Vergoedingen grondslag'!$R$20+'Vergoedingen grondslag'!$U$20)/Parameters!$B$9),(('Vergoedingen grondslag'!$F$11+'Vergoedingen grondslag'!$I$11+'Vergoedingen grondslag'!$L$11+'Vergoedingen grondslag'!$O$11)*(M70))+('Vergoedingen grondslag'!$O$11*'Rekenblad Aansluiting'!$N70+'Vergoedingen grondslag'!$R$11+'Vergoedingen grondslag'!$U$11+'Vergoedingen grondslag'!$X$11)/36))</f>
        <v>4.1111111111111107</v>
      </c>
      <c r="U70" s="142">
        <f>M70*Parameters!$B$12</f>
        <v>0</v>
      </c>
      <c r="V70" s="136">
        <f t="shared" ref="V70" si="106">SUM(S70:U70)</f>
        <v>14.388888888888889</v>
      </c>
      <c r="W70" s="142">
        <f t="shared" ref="W70" si="107">R70+V70</f>
        <v>37.398734083333338</v>
      </c>
      <c r="X70" s="138">
        <f t="shared" ref="X70" si="108">O70-W70</f>
        <v>65.379043694444434</v>
      </c>
      <c r="Y70" s="145">
        <f t="shared" ref="Y70" si="109">X70/O70</f>
        <v>0.63612042513513511</v>
      </c>
      <c r="Z70" s="120" t="b">
        <f t="shared" ref="Z70" si="110">Y70&lt;0</f>
        <v>0</v>
      </c>
      <c r="AA70" s="331" t="s">
        <v>868</v>
      </c>
      <c r="AB70" s="4">
        <v>1</v>
      </c>
      <c r="AD70" s="445">
        <f>IF(RIGHT(C70,2)="CM",M70*MAX(Parameters!$B$2:$B$4),M70*Parameters!$B$3)</f>
        <v>10</v>
      </c>
      <c r="AE70" s="149">
        <f>IF(RIGHT(C70,2)="CM",0,IF(LEFT(C70,2)="TZ",(('Vergoedingen grondslag'!$F$20+'Vergoedingen grondslag'!$I$20+'Vergoedingen grondslag'!$L$20+'Vergoedingen grondslag'!$O$20)*(M70)+('Vergoedingen grondslag'!$O$20*'Rekenblad Aansluiting'!$N70*0+'Vergoedingen grondslag'!$R$20+'Vergoedingen grondslag'!$U$20)/Parameters!$B$9),(('Vergoedingen grondslag'!$F$11+'Vergoedingen grondslag'!$I$11+'Vergoedingen grondslag'!$L$11+'Vergoedingen grondslag'!$O$11)*(M70))+('Vergoedingen grondslag'!$O$11*'Rekenblad Aansluiting'!$N70*0+'Vergoedingen grondslag'!$R$11+'Vergoedingen grondslag'!$U$11+'Vergoedingen grondslag'!$X$11)/36))</f>
        <v>4.083333333333333</v>
      </c>
      <c r="AF70" s="652">
        <f>M70*Parameters!$B$12</f>
        <v>0</v>
      </c>
      <c r="AG70" s="774">
        <f t="shared" ref="AG70" si="111">SUM(AD70:AF70)</f>
        <v>14.083333333333332</v>
      </c>
      <c r="AH70" s="775">
        <f t="shared" si="20"/>
        <v>32.821511861111105</v>
      </c>
      <c r="AI70" s="447">
        <f t="shared" ref="AI70" si="112">M70-AH70</f>
        <v>67.178488138888895</v>
      </c>
      <c r="AJ70" s="173">
        <f t="shared" ref="AJ70" si="113">AI70/M70</f>
        <v>0.67178488138888892</v>
      </c>
      <c r="AK70" s="120" t="b">
        <f t="shared" ref="AK70" si="114">AJ70&lt;0</f>
        <v>0</v>
      </c>
    </row>
    <row r="71" spans="1:37" ht="14.4">
      <c r="A71" s="182" t="str">
        <f t="shared" ref="A71:A72" si="115">C71&amp;D71&amp;E71&amp;G71</f>
        <v>ZBTCityphone100VVE nieuwe aanleg</v>
      </c>
      <c r="B71" s="120" t="str">
        <f t="shared" ref="B71:B72" si="116">C71&amp;D71&amp;G71</f>
        <v>ZBTCityphoneVVE nieuwe aanleg</v>
      </c>
      <c r="C71" s="133" t="s">
        <v>488</v>
      </c>
      <c r="D71" s="133" t="s">
        <v>520</v>
      </c>
      <c r="E71" s="133">
        <v>100</v>
      </c>
      <c r="F71" s="133" t="s">
        <v>4</v>
      </c>
      <c r="G71" s="133" t="s">
        <v>458</v>
      </c>
      <c r="H71" s="133" t="str">
        <f t="shared" ref="H71" si="117">D71&amp;F71</f>
        <v>CityphoneVVA</v>
      </c>
      <c r="I71" s="120" t="str">
        <f t="shared" ref="I71" si="118">D71&amp;G71</f>
        <v>CityphoneVVE nieuwe aanleg</v>
      </c>
      <c r="J71" s="493" t="str">
        <f>IF(D71="","",INDEX(Mapping!$H:$H,MATCH($H71,Mapping!$B:$B,0)))</f>
        <v>CityPhoneVVA</v>
      </c>
      <c r="K71" s="494" t="str">
        <f>IF(D71="","",INDEX(Mapping!$H:$H,MATCH($I71,Mapping!$B:$B,0)))</f>
        <v>CityPhoneVVE nieuwe aanleg</v>
      </c>
      <c r="L71" s="649">
        <f>MATCH(C71&amp;D71&amp;E71,'Tarieven ZM'!$B:$B,0)</f>
        <v>43</v>
      </c>
      <c r="M71" s="133">
        <f>INDEX('Tarieven ZM'!$F:$F,'Rekenblad Aansluiting'!$L71)</f>
        <v>100</v>
      </c>
      <c r="N71" s="133">
        <f>INDEX('Tarieven ZM'!$G:$H,'Rekenblad Aansluiting'!$L71,MATCH($G71,'Tarieven ZM'!$G$4:$H$4))</f>
        <v>100</v>
      </c>
      <c r="O71" s="136">
        <f>M71+N71/Parameters!$B$9</f>
        <v>102.77777777777777</v>
      </c>
      <c r="P71" s="495">
        <f>IF('Rekenblad Aansluiting'!D71="",0,INDEX('inkoop aansluitingen obv ULL'!E:E,MATCH(K71,'inkoop aansluitingen obv ULL'!B:B,0)))</f>
        <v>0.42000000000000004</v>
      </c>
      <c r="Q71" s="142">
        <f>IF('Rekenblad Aansluiting'!D71="",0,INDEX('inkoop aansluitingen obv ULL'!F:F,MATCH(K71,'inkoop aansluitingen obv ULL'!B:B,0)))</f>
        <v>3.6</v>
      </c>
      <c r="R71" s="136">
        <f>P71+Q71/'Parameters ULL'!$E$10</f>
        <v>0.52</v>
      </c>
      <c r="S71" s="138">
        <f>IF(RIGHT(C71,2)="CM",O71*MAX(Parameters!$B$2:$B$4),O71*Parameters!$B$3)</f>
        <v>10.277777777777779</v>
      </c>
      <c r="T71" s="142">
        <f>IF(RIGHT(C71,2)="CM",0,IF(LEFT(C71,2)="TZ",(('Vergoedingen grondslag'!$F$20+'Vergoedingen grondslag'!$I$20+'Vergoedingen grondslag'!$L$20+'Vergoedingen grondslag'!$O$20)*(M71)+('Vergoedingen grondslag'!$O$20*'Rekenblad Aansluiting'!$N71+'Vergoedingen grondslag'!$R$20+'Vergoedingen grondslag'!$U$20)/Parameters!$B$9),(('Vergoedingen grondslag'!$F$11+'Vergoedingen grondslag'!$I$11+'Vergoedingen grondslag'!$L$11+'Vergoedingen grondslag'!$O$11)*(M71))+('Vergoedingen grondslag'!$O$11*'Rekenblad Aansluiting'!$N71+'Vergoedingen grondslag'!$R$11+'Vergoedingen grondslag'!$U$11+'Vergoedingen grondslag'!$X$11)/36))</f>
        <v>4.1111111111111107</v>
      </c>
      <c r="U71" s="142">
        <f>M71*Parameters!$B$12</f>
        <v>0</v>
      </c>
      <c r="V71" s="136">
        <f t="shared" ref="V71:V72" si="119">SUM(S71:U71)</f>
        <v>14.388888888888889</v>
      </c>
      <c r="W71" s="142">
        <f t="shared" ref="W71:W72" si="120">R71+V71</f>
        <v>14.908888888888889</v>
      </c>
      <c r="X71" s="138">
        <f t="shared" ref="X71:X72" si="121">O71-W71</f>
        <v>87.868888888888875</v>
      </c>
      <c r="Y71" s="145">
        <f t="shared" ref="Y71:Y72" si="122">X71/O71</f>
        <v>0.85494054054054047</v>
      </c>
      <c r="Z71" s="120" t="b">
        <f t="shared" ref="Z71" si="123">Y71&lt;0</f>
        <v>0</v>
      </c>
      <c r="AA71" s="331" t="s">
        <v>868</v>
      </c>
      <c r="AB71" s="4">
        <v>1</v>
      </c>
      <c r="AD71" s="445">
        <f>IF(RIGHT(C71,2)="CM",M71*MAX(Parameters!$B$2:$B$4),M71*Parameters!$B$3)</f>
        <v>10</v>
      </c>
      <c r="AE71" s="149">
        <f>IF(RIGHT(C71,2)="CM",0,IF(LEFT(C71,2)="TZ",(('Vergoedingen grondslag'!$F$20+'Vergoedingen grondslag'!$I$20+'Vergoedingen grondslag'!$L$20+'Vergoedingen grondslag'!$O$20)*(M71)+('Vergoedingen grondslag'!$O$20*'Rekenblad Aansluiting'!$N71*0+'Vergoedingen grondslag'!$R$20+'Vergoedingen grondslag'!$U$20)/Parameters!$B$9),(('Vergoedingen grondslag'!$F$11+'Vergoedingen grondslag'!$I$11+'Vergoedingen grondslag'!$L$11+'Vergoedingen grondslag'!$O$11)*(M71))+('Vergoedingen grondslag'!$O$11*'Rekenblad Aansluiting'!$N71*0+'Vergoedingen grondslag'!$R$11+'Vergoedingen grondslag'!$U$11+'Vergoedingen grondslag'!$X$11)/36))</f>
        <v>4.083333333333333</v>
      </c>
      <c r="AF71" s="652">
        <f>M71*Parameters!$B$12</f>
        <v>0</v>
      </c>
      <c r="AG71" s="774">
        <f t="shared" ref="AG71" si="124">SUM(AD71:AF71)</f>
        <v>14.083333333333332</v>
      </c>
      <c r="AH71" s="775">
        <f t="shared" si="20"/>
        <v>14.503333333333332</v>
      </c>
      <c r="AI71" s="447">
        <f t="shared" ref="AI71" si="125">M71-AH71</f>
        <v>85.49666666666667</v>
      </c>
      <c r="AJ71" s="173">
        <f t="shared" ref="AJ71" si="126">AI71/M71</f>
        <v>0.85496666666666665</v>
      </c>
      <c r="AK71" s="120" t="b">
        <f t="shared" ref="AK71" si="127">AJ71&lt;0</f>
        <v>0</v>
      </c>
    </row>
    <row r="72" spans="1:37" ht="14.4">
      <c r="A72" s="182" t="str">
        <f t="shared" si="115"/>
        <v>ZBTISDN15100VVE overstap</v>
      </c>
      <c r="B72" s="120" t="str">
        <f t="shared" si="116"/>
        <v>ZBTISDN15VVE overstap</v>
      </c>
      <c r="C72" s="133" t="s">
        <v>488</v>
      </c>
      <c r="D72" s="133" t="s">
        <v>466</v>
      </c>
      <c r="E72" s="133">
        <v>100</v>
      </c>
      <c r="F72" s="133" t="s">
        <v>4</v>
      </c>
      <c r="G72" s="133" t="s">
        <v>459</v>
      </c>
      <c r="H72" s="133" t="str">
        <f t="shared" ref="H72" si="128">D72&amp;F72</f>
        <v>ISDN15VVA</v>
      </c>
      <c r="I72" s="120" t="str">
        <f t="shared" ref="I72" si="129">D72&amp;G72</f>
        <v>ISDN15VVE overstap</v>
      </c>
      <c r="J72" s="493" t="str">
        <f>IF(D72="","",INDEX(Mapping!$H:$H,MATCH($H72,Mapping!$B:$B,0)))</f>
        <v>ISDN15VVA</v>
      </c>
      <c r="K72" s="494" t="str">
        <f>IF(D72="","",INDEX(Mapping!$H:$H,MATCH($I72,Mapping!$B:$B,0)))</f>
        <v>ISDN15VVE overstap</v>
      </c>
      <c r="L72" s="649">
        <f>MATCH(C72&amp;D72&amp;E72,'Tarieven ZM'!$B:$B,0)</f>
        <v>40</v>
      </c>
      <c r="M72" s="133">
        <f>INDEX('Tarieven ZM'!$F:$F,'Rekenblad Aansluiting'!$L72)</f>
        <v>100</v>
      </c>
      <c r="N72" s="133">
        <f>INDEX('Tarieven ZM'!$G:$H,'Rekenblad Aansluiting'!$L72,MATCH($G72,'Tarieven ZM'!$G$4:$H$4))</f>
        <v>100</v>
      </c>
      <c r="O72" s="136">
        <f>M72+N72/Parameters!$B$9</f>
        <v>102.77777777777777</v>
      </c>
      <c r="P72" s="495">
        <f>IF('Rekenblad Aansluiting'!D72="",0,INDEX('inkoop aansluitingen obv ULL'!E:E,MATCH(K72,'inkoop aansluitingen obv ULL'!B:B,0)))</f>
        <v>18.738178527777777</v>
      </c>
      <c r="Q72" s="142">
        <f>IF('Rekenblad Aansluiting'!D72="",0,INDEX('inkoop aansluitingen obv ULL'!F:F,MATCH(K72,'inkoop aansluitingen obv ULL'!B:B,0)))</f>
        <v>38.58</v>
      </c>
      <c r="R72" s="136">
        <f>P72+Q72/'Parameters ULL'!$E$10</f>
        <v>19.809845194444442</v>
      </c>
      <c r="S72" s="138">
        <f>IF(RIGHT(C72,2)="CM",O72*MAX(Parameters!$B$2:$B$4),O72*Parameters!$B$3)</f>
        <v>10.277777777777779</v>
      </c>
      <c r="T72" s="142">
        <f>IF(RIGHT(C72,2)="CM",0,IF(LEFT(C72,2)="TZ",(('Vergoedingen grondslag'!$F$20+'Vergoedingen grondslag'!$I$20+'Vergoedingen grondslag'!$L$20+'Vergoedingen grondslag'!$O$20)*(M72)+('Vergoedingen grondslag'!$O$20*'Rekenblad Aansluiting'!$N72+'Vergoedingen grondslag'!$R$20+'Vergoedingen grondslag'!$U$20)/Parameters!$B$9),(('Vergoedingen grondslag'!$F$11+'Vergoedingen grondslag'!$I$11+'Vergoedingen grondslag'!$L$11+'Vergoedingen grondslag'!$O$11)*(M72))+('Vergoedingen grondslag'!$O$11*'Rekenblad Aansluiting'!$N72+'Vergoedingen grondslag'!$R$11+'Vergoedingen grondslag'!$U$11+'Vergoedingen grondslag'!$X$11)/36))</f>
        <v>4.1111111111111107</v>
      </c>
      <c r="U72" s="142">
        <f>M72*Parameters!$B$12</f>
        <v>0</v>
      </c>
      <c r="V72" s="136">
        <f t="shared" si="119"/>
        <v>14.388888888888889</v>
      </c>
      <c r="W72" s="142">
        <f t="shared" si="120"/>
        <v>34.198734083333335</v>
      </c>
      <c r="X72" s="138">
        <f t="shared" si="121"/>
        <v>68.579043694444437</v>
      </c>
      <c r="Y72" s="145">
        <f t="shared" si="122"/>
        <v>0.66725556027027022</v>
      </c>
      <c r="Z72" s="120" t="b">
        <f t="shared" ref="Z72" si="130">Y72&lt;0</f>
        <v>0</v>
      </c>
      <c r="AA72" s="331" t="s">
        <v>868</v>
      </c>
      <c r="AB72" s="4">
        <v>1</v>
      </c>
      <c r="AD72" s="445">
        <f>IF(RIGHT(C72,2)="CM",M72*MAX(Parameters!$B$2:$B$4),M72*Parameters!$B$3)</f>
        <v>10</v>
      </c>
      <c r="AE72" s="149">
        <f>IF(RIGHT(C72,2)="CM",0,IF(LEFT(C72,2)="TZ",(('Vergoedingen grondslag'!$F$20+'Vergoedingen grondslag'!$I$20+'Vergoedingen grondslag'!$L$20+'Vergoedingen grondslag'!$O$20)*(M72)+('Vergoedingen grondslag'!$O$20*'Rekenblad Aansluiting'!$N72*0+'Vergoedingen grondslag'!$R$20+'Vergoedingen grondslag'!$U$20)/Parameters!$B$9),(('Vergoedingen grondslag'!$F$11+'Vergoedingen grondslag'!$I$11+'Vergoedingen grondslag'!$L$11+'Vergoedingen grondslag'!$O$11)*(M72))+('Vergoedingen grondslag'!$O$11*'Rekenblad Aansluiting'!$N72*0+'Vergoedingen grondslag'!$R$11+'Vergoedingen grondslag'!$U$11+'Vergoedingen grondslag'!$X$11)/36))</f>
        <v>4.083333333333333</v>
      </c>
      <c r="AF72" s="652">
        <f>M72*Parameters!$B$12</f>
        <v>0</v>
      </c>
      <c r="AG72" s="774">
        <f t="shared" ref="AG72:AG73" si="131">SUM(AD72:AF72)</f>
        <v>14.083333333333332</v>
      </c>
      <c r="AH72" s="775">
        <f t="shared" si="20"/>
        <v>32.821511861111105</v>
      </c>
      <c r="AI72" s="447">
        <f t="shared" ref="AI72:AI73" si="132">M72-AH72</f>
        <v>67.178488138888895</v>
      </c>
      <c r="AJ72" s="173">
        <f t="shared" ref="AJ72:AJ73" si="133">AI72/M72</f>
        <v>0.67178488138888892</v>
      </c>
      <c r="AK72" s="120" t="b">
        <f t="shared" ref="AK72:AK73" si="134">AJ72&lt;0</f>
        <v>0</v>
      </c>
    </row>
    <row r="73" spans="1:37" ht="14.4">
      <c r="A73" s="182" t="str">
        <f t="shared" ref="A73" si="135">C73&amp;D73&amp;E73&amp;G73</f>
        <v>ZBTISDN20100VVE overstap</v>
      </c>
      <c r="B73" s="120" t="str">
        <f t="shared" ref="B73" si="136">C73&amp;D73&amp;G73</f>
        <v>ZBTISDN20VVE overstap</v>
      </c>
      <c r="C73" s="133" t="s">
        <v>488</v>
      </c>
      <c r="D73" s="133" t="s">
        <v>468</v>
      </c>
      <c r="E73" s="133">
        <v>100</v>
      </c>
      <c r="F73" s="133" t="s">
        <v>4</v>
      </c>
      <c r="G73" s="133" t="s">
        <v>459</v>
      </c>
      <c r="H73" s="133" t="str">
        <f t="shared" ref="H73" si="137">D73&amp;F73</f>
        <v>ISDN20VVA</v>
      </c>
      <c r="I73" s="120" t="str">
        <f t="shared" ref="I73" si="138">D73&amp;G73</f>
        <v>ISDN20VVE overstap</v>
      </c>
      <c r="J73" s="493" t="str">
        <f>IF(D73="","",INDEX(Mapping!$H:$H,MATCH($H73,Mapping!$B:$B,0)))</f>
        <v>ISDN20VVA</v>
      </c>
      <c r="K73" s="494" t="str">
        <f>IF(D73="","",INDEX(Mapping!$H:$H,MATCH($I73,Mapping!$B:$B,0)))</f>
        <v>ISDN20VVE overstap</v>
      </c>
      <c r="L73" s="649">
        <f>MATCH(C73&amp;D73&amp;E73,'Tarieven ZM'!$B:$B,0)</f>
        <v>41</v>
      </c>
      <c r="M73" s="133">
        <f>INDEX('Tarieven ZM'!$F:$F,'Rekenblad Aansluiting'!$L73)</f>
        <v>100</v>
      </c>
      <c r="N73" s="133">
        <f>INDEX('Tarieven ZM'!$G:$H,'Rekenblad Aansluiting'!$L73,MATCH($G73,'Tarieven ZM'!$G$4:$H$4))</f>
        <v>100</v>
      </c>
      <c r="O73" s="136">
        <f>M73+N73/Parameters!$B$9</f>
        <v>102.77777777777777</v>
      </c>
      <c r="P73" s="495">
        <f>IF('Rekenblad Aansluiting'!D73="",0,INDEX('inkoop aansluitingen obv ULL'!E:E,MATCH(K73,'inkoop aansluitingen obv ULL'!B:B,0)))</f>
        <v>18.738178527777777</v>
      </c>
      <c r="Q73" s="142">
        <f>IF('Rekenblad Aansluiting'!D73="",0,INDEX('inkoop aansluitingen obv ULL'!F:F,MATCH(K73,'inkoop aansluitingen obv ULL'!B:B,0)))</f>
        <v>38.58</v>
      </c>
      <c r="R73" s="136">
        <f>P73+Q73/'Parameters ULL'!$E$10</f>
        <v>19.809845194444442</v>
      </c>
      <c r="S73" s="138">
        <f>IF(RIGHT(C73,2)="CM",O73*MAX(Parameters!$B$2:$B$4),O73*Parameters!$B$3)</f>
        <v>10.277777777777779</v>
      </c>
      <c r="T73" s="142">
        <f>IF(RIGHT(C73,2)="CM",0,IF(LEFT(C73,2)="TZ",(('Vergoedingen grondslag'!$F$20+'Vergoedingen grondslag'!$I$20+'Vergoedingen grondslag'!$L$20+'Vergoedingen grondslag'!$O$20)*(M73)+('Vergoedingen grondslag'!$O$20*'Rekenblad Aansluiting'!$N73+'Vergoedingen grondslag'!$R$20+'Vergoedingen grondslag'!$U$20)/Parameters!$B$9),(('Vergoedingen grondslag'!$F$11+'Vergoedingen grondslag'!$I$11+'Vergoedingen grondslag'!$L$11+'Vergoedingen grondslag'!$O$11)*(M73))+('Vergoedingen grondslag'!$O$11*'Rekenblad Aansluiting'!$N73+'Vergoedingen grondslag'!$R$11+'Vergoedingen grondslag'!$U$11+'Vergoedingen grondslag'!$X$11)/36))</f>
        <v>4.1111111111111107</v>
      </c>
      <c r="U73" s="142">
        <f>M73*Parameters!$B$12</f>
        <v>0</v>
      </c>
      <c r="V73" s="136">
        <f t="shared" ref="V73" si="139">SUM(S73:U73)</f>
        <v>14.388888888888889</v>
      </c>
      <c r="W73" s="142">
        <f t="shared" ref="W73" si="140">R73+V73</f>
        <v>34.198734083333335</v>
      </c>
      <c r="X73" s="138">
        <f t="shared" ref="X73" si="141">O73-W73</f>
        <v>68.579043694444437</v>
      </c>
      <c r="Y73" s="145">
        <f t="shared" ref="Y73" si="142">X73/O73</f>
        <v>0.66725556027027022</v>
      </c>
      <c r="Z73" s="120" t="b">
        <f t="shared" ref="Z73" si="143">Y73&lt;0</f>
        <v>0</v>
      </c>
      <c r="AA73" s="331" t="s">
        <v>868</v>
      </c>
      <c r="AB73" s="4">
        <v>1</v>
      </c>
      <c r="AD73" s="445">
        <f>IF(RIGHT(C73,2)="CM",M73*MAX(Parameters!$B$2:$B$4),M73*Parameters!$B$3)</f>
        <v>10</v>
      </c>
      <c r="AE73" s="149">
        <f>IF(RIGHT(C73,2)="CM",0,IF(LEFT(C73,2)="TZ",(('Vergoedingen grondslag'!$F$20+'Vergoedingen grondslag'!$I$20+'Vergoedingen grondslag'!$L$20+'Vergoedingen grondslag'!$O$20)*(M73)+('Vergoedingen grondslag'!$O$20*'Rekenblad Aansluiting'!$N73*0+'Vergoedingen grondslag'!$R$20+'Vergoedingen grondslag'!$U$20)/Parameters!$B$9),(('Vergoedingen grondslag'!$F$11+'Vergoedingen grondslag'!$I$11+'Vergoedingen grondslag'!$L$11+'Vergoedingen grondslag'!$O$11)*(M73))+('Vergoedingen grondslag'!$O$11*'Rekenblad Aansluiting'!$N73*0+'Vergoedingen grondslag'!$R$11+'Vergoedingen grondslag'!$U$11+'Vergoedingen grondslag'!$X$11)/36))</f>
        <v>4.083333333333333</v>
      </c>
      <c r="AF73" s="652">
        <f>M73*Parameters!$B$12</f>
        <v>0</v>
      </c>
      <c r="AG73" s="774">
        <f t="shared" si="131"/>
        <v>14.083333333333332</v>
      </c>
      <c r="AH73" s="775">
        <f t="shared" si="20"/>
        <v>32.821511861111105</v>
      </c>
      <c r="AI73" s="447">
        <f t="shared" si="132"/>
        <v>67.178488138888895</v>
      </c>
      <c r="AJ73" s="173">
        <f t="shared" si="133"/>
        <v>0.67178488138888892</v>
      </c>
      <c r="AK73" s="120" t="b">
        <f t="shared" si="134"/>
        <v>0</v>
      </c>
    </row>
    <row r="74" spans="1:37" ht="14.4">
      <c r="A74" s="182" t="str">
        <f t="shared" ref="A74" si="144">C74&amp;D74&amp;E74&amp;G74</f>
        <v>ZBTISDN30 eerste aansluiting100VVE overstap</v>
      </c>
      <c r="B74" s="120" t="str">
        <f t="shared" ref="B74" si="145">C74&amp;D74&amp;G74</f>
        <v>ZBTISDN30 eerste aansluitingVVE overstap</v>
      </c>
      <c r="C74" s="133" t="s">
        <v>488</v>
      </c>
      <c r="D74" s="133" t="s">
        <v>869</v>
      </c>
      <c r="E74" s="133">
        <v>100</v>
      </c>
      <c r="F74" s="133" t="s">
        <v>4</v>
      </c>
      <c r="G74" s="133" t="s">
        <v>459</v>
      </c>
      <c r="H74" s="133" t="str">
        <f t="shared" ref="H74" si="146">D74&amp;F74</f>
        <v>ISDN30 eerste aansluitingVVA</v>
      </c>
      <c r="I74" s="120" t="str">
        <f t="shared" ref="I74" si="147">D74&amp;G74</f>
        <v>ISDN30 eerste aansluitingVVE overstap</v>
      </c>
      <c r="J74" s="493" t="str">
        <f>IF(D74="","",INDEX(Mapping!$H:$H,MATCH($H74,Mapping!$B:$B,0)))</f>
        <v>ISDN30 eerste aansluitingVVA</v>
      </c>
      <c r="K74" s="494" t="str">
        <f>IF(D74="","",INDEX(Mapping!$H:$H,MATCH($I74,Mapping!$B:$B,0)))</f>
        <v>ISDN30 eerste aansluitingVVE overstap</v>
      </c>
      <c r="L74" s="649">
        <f>MATCH(C74&amp;D74&amp;E74,'Tarieven ZM'!$B:$B,0)</f>
        <v>42</v>
      </c>
      <c r="M74" s="133">
        <f>INDEX('Tarieven ZM'!$F:$F,'Rekenblad Aansluiting'!$L74)</f>
        <v>100</v>
      </c>
      <c r="N74" s="133">
        <f>INDEX('Tarieven ZM'!$G:$H,'Rekenblad Aansluiting'!$L74,MATCH($G74,'Tarieven ZM'!$G$4:$H$4))</f>
        <v>100</v>
      </c>
      <c r="O74" s="136">
        <f>M74+N74/Parameters!$B$9</f>
        <v>102.77777777777777</v>
      </c>
      <c r="P74" s="495">
        <f>IF('Rekenblad Aansluiting'!D74="",0,INDEX('inkoop aansluitingen obv ULL'!E:E,MATCH(K74,'inkoop aansluitingen obv ULL'!B:B,0)))</f>
        <v>18.738178527777777</v>
      </c>
      <c r="Q74" s="142">
        <f>IF('Rekenblad Aansluiting'!D74="",0,INDEX('inkoop aansluitingen obv ULL'!F:F,MATCH(K74,'inkoop aansluitingen obv ULL'!B:B,0)))</f>
        <v>38.58</v>
      </c>
      <c r="R74" s="136">
        <f>P74+Q74/'Parameters ULL'!$E$10</f>
        <v>19.809845194444442</v>
      </c>
      <c r="S74" s="138">
        <f>IF(RIGHT(C74,2)="CM",O74*MAX(Parameters!$B$2:$B$4),O74*Parameters!$B$3)</f>
        <v>10.277777777777779</v>
      </c>
      <c r="T74" s="142">
        <f>IF(RIGHT(C74,2)="CM",0,IF(LEFT(C74,2)="TZ",(('Vergoedingen grondslag'!$F$20+'Vergoedingen grondslag'!$I$20+'Vergoedingen grondslag'!$L$20+'Vergoedingen grondslag'!$O$20)*(M74)+('Vergoedingen grondslag'!$O$20*'Rekenblad Aansluiting'!$N74+'Vergoedingen grondslag'!$R$20+'Vergoedingen grondslag'!$U$20)/Parameters!$B$9),(('Vergoedingen grondslag'!$F$11+'Vergoedingen grondslag'!$I$11+'Vergoedingen grondslag'!$L$11+'Vergoedingen grondslag'!$O$11)*(M74))+('Vergoedingen grondslag'!$O$11*'Rekenblad Aansluiting'!$N74+'Vergoedingen grondslag'!$R$11+'Vergoedingen grondslag'!$U$11+'Vergoedingen grondslag'!$X$11)/36))</f>
        <v>4.1111111111111107</v>
      </c>
      <c r="U74" s="142">
        <f>M74*Parameters!$B$12</f>
        <v>0</v>
      </c>
      <c r="V74" s="136">
        <f t="shared" ref="V74" si="148">SUM(S74:U74)</f>
        <v>14.388888888888889</v>
      </c>
      <c r="W74" s="142">
        <f t="shared" ref="W74" si="149">R74+V74</f>
        <v>34.198734083333335</v>
      </c>
      <c r="X74" s="138">
        <f t="shared" ref="X74" si="150">O74-W74</f>
        <v>68.579043694444437</v>
      </c>
      <c r="Y74" s="145">
        <f t="shared" ref="Y74" si="151">X74/O74</f>
        <v>0.66725556027027022</v>
      </c>
      <c r="Z74" s="120" t="b">
        <f t="shared" ref="Z74" si="152">Y74&lt;0</f>
        <v>0</v>
      </c>
      <c r="AA74" s="331" t="s">
        <v>868</v>
      </c>
      <c r="AB74" s="4">
        <v>1</v>
      </c>
      <c r="AD74" s="445">
        <f>IF(RIGHT(C74,2)="CM",M74*MAX(Parameters!$B$2:$B$4),M74*Parameters!$B$3)</f>
        <v>10</v>
      </c>
      <c r="AE74" s="149">
        <f>IF(RIGHT(C74,2)="CM",0,IF(LEFT(C74,2)="TZ",(('Vergoedingen grondslag'!$F$20+'Vergoedingen grondslag'!$I$20+'Vergoedingen grondslag'!$L$20+'Vergoedingen grondslag'!$O$20)*(M74)+('Vergoedingen grondslag'!$O$20*'Rekenblad Aansluiting'!$N74*0+'Vergoedingen grondslag'!$R$20+'Vergoedingen grondslag'!$U$20)/Parameters!$B$9),(('Vergoedingen grondslag'!$F$11+'Vergoedingen grondslag'!$I$11+'Vergoedingen grondslag'!$L$11+'Vergoedingen grondslag'!$O$11)*(M74))+('Vergoedingen grondslag'!$O$11*'Rekenblad Aansluiting'!$N74*0+'Vergoedingen grondslag'!$R$11+'Vergoedingen grondslag'!$U$11+'Vergoedingen grondslag'!$X$11)/36))</f>
        <v>4.083333333333333</v>
      </c>
      <c r="AF74" s="652">
        <f>M74*Parameters!$B$12</f>
        <v>0</v>
      </c>
      <c r="AG74" s="774">
        <f t="shared" ref="AG74" si="153">SUM(AD74:AF74)</f>
        <v>14.083333333333332</v>
      </c>
      <c r="AH74" s="775">
        <f t="shared" si="20"/>
        <v>32.821511861111105</v>
      </c>
      <c r="AI74" s="447">
        <f t="shared" ref="AI74" si="154">M74-AH74</f>
        <v>67.178488138888895</v>
      </c>
      <c r="AJ74" s="173">
        <f t="shared" ref="AJ74" si="155">AI74/M74</f>
        <v>0.67178488138888892</v>
      </c>
      <c r="AK74" s="120" t="b">
        <f t="shared" ref="AK74" si="156">AJ74&lt;0</f>
        <v>0</v>
      </c>
    </row>
    <row r="75" spans="1:37" ht="14.4">
      <c r="A75" s="182" t="str">
        <f t="shared" ref="A75" si="157">C75&amp;D75&amp;E75&amp;G75</f>
        <v>ZBTCityphone100VVE overstap</v>
      </c>
      <c r="B75" s="120" t="str">
        <f t="shared" ref="B75" si="158">C75&amp;D75&amp;G75</f>
        <v>ZBTCityphoneVVE overstap</v>
      </c>
      <c r="C75" s="133" t="s">
        <v>488</v>
      </c>
      <c r="D75" s="133" t="s">
        <v>520</v>
      </c>
      <c r="E75" s="133">
        <v>100</v>
      </c>
      <c r="F75" s="133" t="s">
        <v>4</v>
      </c>
      <c r="G75" s="133" t="s">
        <v>459</v>
      </c>
      <c r="H75" s="133" t="str">
        <f t="shared" ref="H75:H77" si="159">D75&amp;F75</f>
        <v>CityphoneVVA</v>
      </c>
      <c r="I75" s="120" t="str">
        <f t="shared" ref="I75" si="160">D75&amp;G75</f>
        <v>CityphoneVVE overstap</v>
      </c>
      <c r="J75" s="493" t="str">
        <f>IF(D75="","",INDEX(Mapping!$H:$H,MATCH($H75,Mapping!$B:$B,0)))</f>
        <v>CityPhoneVVA</v>
      </c>
      <c r="K75" s="494" t="str">
        <f>IF(D75="","",INDEX(Mapping!$H:$H,MATCH($I75,Mapping!$B:$B,0)))</f>
        <v>CityPhoneVVE overstap</v>
      </c>
      <c r="L75" s="649">
        <f>MATCH(C75&amp;D75&amp;E75,'Tarieven ZM'!$B:$B,0)</f>
        <v>43</v>
      </c>
      <c r="M75" s="133">
        <f>INDEX('Tarieven ZM'!$F:$F,'Rekenblad Aansluiting'!$L75)</f>
        <v>100</v>
      </c>
      <c r="N75" s="133">
        <f>INDEX('Tarieven ZM'!$G:$H,'Rekenblad Aansluiting'!$L75,MATCH($G75,'Tarieven ZM'!$G$4:$H$4))</f>
        <v>100</v>
      </c>
      <c r="O75" s="136">
        <f>M75+N75/Parameters!$B$9</f>
        <v>102.77777777777777</v>
      </c>
      <c r="P75" s="495">
        <f>IF('Rekenblad Aansluiting'!D75="",0,INDEX('inkoop aansluitingen obv ULL'!E:E,MATCH(K75,'inkoop aansluitingen obv ULL'!B:B,0)))</f>
        <v>0.42000000000000004</v>
      </c>
      <c r="Q75" s="142">
        <f>IF('Rekenblad Aansluiting'!D75="",0,INDEX('inkoop aansluitingen obv ULL'!F:F,MATCH(K75,'inkoop aansluitingen obv ULL'!B:B,0)))</f>
        <v>3.6</v>
      </c>
      <c r="R75" s="136">
        <f>P75+Q75/'Parameters ULL'!$E$10</f>
        <v>0.52</v>
      </c>
      <c r="S75" s="138">
        <f>IF(RIGHT(C75,2)="CM",O75*MAX(Parameters!$B$2:$B$4),O75*Parameters!$B$3)</f>
        <v>10.277777777777779</v>
      </c>
      <c r="T75" s="142">
        <f>IF(RIGHT(C75,2)="CM",0,IF(LEFT(C75,2)="TZ",(('Vergoedingen grondslag'!$F$20+'Vergoedingen grondslag'!$I$20+'Vergoedingen grondslag'!$L$20+'Vergoedingen grondslag'!$O$20)*(M75)+('Vergoedingen grondslag'!$O$20*'Rekenblad Aansluiting'!$N75+'Vergoedingen grondslag'!$R$20+'Vergoedingen grondslag'!$U$20)/Parameters!$B$9),(('Vergoedingen grondslag'!$F$11+'Vergoedingen grondslag'!$I$11+'Vergoedingen grondslag'!$L$11+'Vergoedingen grondslag'!$O$11)*(M75))+('Vergoedingen grondslag'!$O$11*'Rekenblad Aansluiting'!$N75+'Vergoedingen grondslag'!$R$11+'Vergoedingen grondslag'!$U$11+'Vergoedingen grondslag'!$X$11)/36))</f>
        <v>4.1111111111111107</v>
      </c>
      <c r="U75" s="142">
        <f>M75*Parameters!$B$12</f>
        <v>0</v>
      </c>
      <c r="V75" s="136">
        <f t="shared" ref="V75" si="161">SUM(S75:U75)</f>
        <v>14.388888888888889</v>
      </c>
      <c r="W75" s="142">
        <f t="shared" ref="W75" si="162">R75+V75</f>
        <v>14.908888888888889</v>
      </c>
      <c r="X75" s="138">
        <f t="shared" ref="X75" si="163">O75-W75</f>
        <v>87.868888888888875</v>
      </c>
      <c r="Y75" s="145">
        <f t="shared" ref="Y75" si="164">X75/O75</f>
        <v>0.85494054054054047</v>
      </c>
      <c r="Z75" s="120" t="b">
        <f t="shared" ref="Z75" si="165">Y75&lt;0</f>
        <v>0</v>
      </c>
      <c r="AA75" s="331" t="s">
        <v>868</v>
      </c>
      <c r="AB75" s="4">
        <v>1</v>
      </c>
      <c r="AD75" s="445">
        <f>IF(RIGHT(C75,2)="CM",M75*MAX(Parameters!$B$2:$B$4),M75*Parameters!$B$3)</f>
        <v>10</v>
      </c>
      <c r="AE75" s="149">
        <f>IF(RIGHT(C75,2)="CM",0,IF(LEFT(C75,2)="TZ",(('Vergoedingen grondslag'!$F$20+'Vergoedingen grondslag'!$I$20+'Vergoedingen grondslag'!$L$20+'Vergoedingen grondslag'!$O$20)*(M75)+('Vergoedingen grondslag'!$O$20*'Rekenblad Aansluiting'!$N75*0+'Vergoedingen grondslag'!$R$20+'Vergoedingen grondslag'!$U$20)/Parameters!$B$9),(('Vergoedingen grondslag'!$F$11+'Vergoedingen grondslag'!$I$11+'Vergoedingen grondslag'!$L$11+'Vergoedingen grondslag'!$O$11)*(M75))+('Vergoedingen grondslag'!$O$11*'Rekenblad Aansluiting'!$N75*0+'Vergoedingen grondslag'!$R$11+'Vergoedingen grondslag'!$U$11+'Vergoedingen grondslag'!$X$11)/36))</f>
        <v>4.083333333333333</v>
      </c>
      <c r="AF75" s="652">
        <f>M75*Parameters!$B$12</f>
        <v>0</v>
      </c>
      <c r="AG75" s="774">
        <f t="shared" ref="AG75:AG76" si="166">SUM(AD75:AF75)</f>
        <v>14.083333333333332</v>
      </c>
      <c r="AH75" s="775">
        <f t="shared" si="20"/>
        <v>14.503333333333332</v>
      </c>
      <c r="AI75" s="447">
        <f t="shared" ref="AI75:AI76" si="167">M75-AH75</f>
        <v>85.49666666666667</v>
      </c>
      <c r="AJ75" s="173">
        <f t="shared" ref="AJ75:AJ76" si="168">AI75/M75</f>
        <v>0.85496666666666665</v>
      </c>
      <c r="AK75" s="120" t="b">
        <f t="shared" ref="AK75:AK76" si="169">AJ75&lt;0</f>
        <v>0</v>
      </c>
    </row>
    <row r="76" spans="1:37" ht="14.4">
      <c r="A76" s="182" t="str">
        <f t="shared" ref="A76" si="170">C76&amp;D76&amp;E76&amp;G76</f>
        <v>TZ ZBTPSTN100VVE nieuwe aanleg</v>
      </c>
      <c r="B76" s="120" t="str">
        <f t="shared" ref="B76" si="171">C76&amp;D76&amp;G76</f>
        <v>TZ ZBTPSTNVVE nieuwe aanleg</v>
      </c>
      <c r="C76" s="133" t="s">
        <v>717</v>
      </c>
      <c r="D76" s="133" t="s">
        <v>463</v>
      </c>
      <c r="E76" s="133">
        <v>100</v>
      </c>
      <c r="F76" s="133" t="s">
        <v>4</v>
      </c>
      <c r="G76" s="133" t="s">
        <v>458</v>
      </c>
      <c r="H76" s="133" t="str">
        <f t="shared" ref="H76" si="172">D76&amp;F76</f>
        <v>PSTNVVA</v>
      </c>
      <c r="I76" s="120" t="str">
        <f t="shared" ref="I76" si="173">D76&amp;G76</f>
        <v>PSTNVVE nieuwe aanleg</v>
      </c>
      <c r="J76" s="493" t="str">
        <f>IF(D76="","",INDEX(Mapping!$H:$H,MATCH($H76,Mapping!$B:$B,0)))</f>
        <v>PSTNVVA</v>
      </c>
      <c r="K76" s="494" t="str">
        <f>IF(D76="","",INDEX(Mapping!$H:$H,MATCH($I76,Mapping!$B:$B,0)))</f>
        <v>PSTNVVE nieuwe aanleg</v>
      </c>
      <c r="L76" s="649">
        <f>MATCH(C76&amp;D76&amp;E76,'Tarieven ZM'!$B:$B,0)</f>
        <v>45</v>
      </c>
      <c r="M76" s="133">
        <f>INDEX('Tarieven ZM'!$F:$F,'Rekenblad Aansluiting'!$L76)</f>
        <v>100</v>
      </c>
      <c r="N76" s="133">
        <f>INDEX('Tarieven ZM'!$G:$H,'Rekenblad Aansluiting'!$L76,MATCH($G76,'Tarieven ZM'!$G$4:$H$4))</f>
        <v>100</v>
      </c>
      <c r="O76" s="136">
        <f>M76+N76/Parameters!$B$9</f>
        <v>102.77777777777777</v>
      </c>
      <c r="P76" s="495">
        <f>IF('Rekenblad Aansluiting'!D76="",0,INDEX('inkoop aansluitingen obv ULL'!E:E,MATCH(K76,'inkoop aansluitingen obv ULL'!B:B,0)))</f>
        <v>9.2350886055555534</v>
      </c>
      <c r="Q76" s="142">
        <f>IF('Rekenblad Aansluiting'!D76="",0,INDEX('inkoop aansluitingen obv ULL'!F:F,MATCH(K76,'inkoop aansluitingen obv ULL'!B:B,0)))</f>
        <v>76.89</v>
      </c>
      <c r="R76" s="136">
        <f>P76+Q76/'Parameters ULL'!$E$10</f>
        <v>11.370921938888888</v>
      </c>
      <c r="S76" s="138">
        <f>IF(RIGHT(C76,2)="CM",O76*MAX(Parameters!$B$2:$B$4),O76*Parameters!$B$3)</f>
        <v>10.277777777777779</v>
      </c>
      <c r="T76" s="142">
        <f>IF(RIGHT(C76,2)="CM",0,IF(LEFT(C76,2)="TZ",(('Vergoedingen grondslag'!$F$20+'Vergoedingen grondslag'!$I$20+'Vergoedingen grondslag'!$L$20+'Vergoedingen grondslag'!$O$20)*(M76)+('Vergoedingen grondslag'!$O$20*'Rekenblad Aansluiting'!$N76+'Vergoedingen grondslag'!$R$20+'Vergoedingen grondslag'!$U$20)/Parameters!$B$9),(('Vergoedingen grondslag'!$F$11+'Vergoedingen grondslag'!$I$11+'Vergoedingen grondslag'!$L$11+'Vergoedingen grondslag'!$O$11)*(M76))+('Vergoedingen grondslag'!$O$11*'Rekenblad Aansluiting'!$N76+'Vergoedingen grondslag'!$R$11+'Vergoedingen grondslag'!$U$11+'Vergoedingen grondslag'!$X$11)/36))</f>
        <v>4.0558333333333332</v>
      </c>
      <c r="U76" s="142">
        <f>M76*Parameters!$B$12</f>
        <v>0</v>
      </c>
      <c r="V76" s="136">
        <f t="shared" ref="V76" si="174">SUM(S76:U76)</f>
        <v>14.333611111111111</v>
      </c>
      <c r="W76" s="142">
        <f t="shared" ref="W76" si="175">R76+V76</f>
        <v>25.704533049999998</v>
      </c>
      <c r="X76" s="138">
        <f t="shared" ref="X76" si="176">O76-W76</f>
        <v>77.073244727777777</v>
      </c>
      <c r="Y76" s="145">
        <f t="shared" ref="Y76" si="177">X76/O76</f>
        <v>0.74990184059459464</v>
      </c>
      <c r="Z76" s="120" t="b">
        <f t="shared" ref="Z76" si="178">Y76&lt;0</f>
        <v>0</v>
      </c>
      <c r="AA76" s="331" t="s">
        <v>868</v>
      </c>
      <c r="AB76" s="4">
        <v>1</v>
      </c>
      <c r="AD76" s="445">
        <f>IF(RIGHT(C76,2)="CM",M76*MAX(Parameters!$B$2:$B$4),M76*Parameters!$B$3)</f>
        <v>10</v>
      </c>
      <c r="AE76" s="149">
        <f>IF(RIGHT(C76,2)="CM",0,IF(LEFT(C76,2)="TZ",(('Vergoedingen grondslag'!$F$20+'Vergoedingen grondslag'!$I$20+'Vergoedingen grondslag'!$L$20+'Vergoedingen grondslag'!$O$20)*(M76)+('Vergoedingen grondslag'!$O$20*'Rekenblad Aansluiting'!$N76*0+'Vergoedingen grondslag'!$R$20+'Vergoedingen grondslag'!$U$20)/Parameters!$B$9),(('Vergoedingen grondslag'!$F$11+'Vergoedingen grondslag'!$I$11+'Vergoedingen grondslag'!$L$11+'Vergoedingen grondslag'!$O$11)*(M76))+('Vergoedingen grondslag'!$O$11*'Rekenblad Aansluiting'!$N76*0+'Vergoedingen grondslag'!$R$11+'Vergoedingen grondslag'!$U$11+'Vergoedingen grondslag'!$X$11)/36))</f>
        <v>4.0280555555555555</v>
      </c>
      <c r="AF76" s="652">
        <f>M76*Parameters!$B$12</f>
        <v>0</v>
      </c>
      <c r="AG76" s="774">
        <f t="shared" si="166"/>
        <v>14.028055555555556</v>
      </c>
      <c r="AH76" s="775">
        <f t="shared" si="20"/>
        <v>23.263144161111107</v>
      </c>
      <c r="AI76" s="447">
        <f t="shared" si="167"/>
        <v>76.736855838888886</v>
      </c>
      <c r="AJ76" s="173">
        <f t="shared" si="168"/>
        <v>0.76736855838888884</v>
      </c>
      <c r="AK76" s="120" t="b">
        <f t="shared" si="169"/>
        <v>0</v>
      </c>
    </row>
    <row r="77" spans="1:37" ht="14.4">
      <c r="A77" s="182" t="str">
        <f t="shared" ref="A77:A79" si="179">C77&amp;D77&amp;E77&amp;G77</f>
        <v>TZ ZBTISDN1100VVE nieuwe aanleg</v>
      </c>
      <c r="B77" s="120" t="str">
        <f t="shared" ref="B77:B79" si="180">C77&amp;D77&amp;G77</f>
        <v>TZ ZBTISDN1VVE nieuwe aanleg</v>
      </c>
      <c r="C77" s="133" t="s">
        <v>717</v>
      </c>
      <c r="D77" s="133" t="s">
        <v>464</v>
      </c>
      <c r="E77" s="133">
        <v>100</v>
      </c>
      <c r="F77" s="133" t="s">
        <v>4</v>
      </c>
      <c r="G77" s="133" t="s">
        <v>458</v>
      </c>
      <c r="H77" s="133" t="str">
        <f t="shared" si="159"/>
        <v>ISDN1VVA</v>
      </c>
      <c r="I77" s="120" t="str">
        <f t="shared" ref="I77:I79" si="181">D77&amp;G77</f>
        <v>ISDN1VVE nieuwe aanleg</v>
      </c>
      <c r="J77" s="493" t="str">
        <f>IF(D77="","",INDEX(Mapping!$H:$H,MATCH($H77,Mapping!$B:$B,0)))</f>
        <v>ISDN1VVA</v>
      </c>
      <c r="K77" s="494" t="str">
        <f>IF(D77="","",INDEX(Mapping!$H:$H,MATCH($I77,Mapping!$B:$B,0)))</f>
        <v>ISDN1VVE nieuwe aanleg</v>
      </c>
      <c r="L77" s="649">
        <f>MATCH(C77&amp;D77&amp;E77,'Tarieven ZM'!$B:$B,0)</f>
        <v>46</v>
      </c>
      <c r="M77" s="133">
        <f>INDEX('Tarieven ZM'!$F:$F,'Rekenblad Aansluiting'!$L77)</f>
        <v>100</v>
      </c>
      <c r="N77" s="133">
        <f>INDEX('Tarieven ZM'!$G:$H,'Rekenblad Aansluiting'!$L77,MATCH($G77,'Tarieven ZM'!$G$4:$H$4))</f>
        <v>100</v>
      </c>
      <c r="O77" s="136">
        <f>M77+N77/Parameters!$B$9</f>
        <v>102.77777777777777</v>
      </c>
      <c r="P77" s="495">
        <f>IF('Rekenblad Aansluiting'!D77="",0,INDEX('inkoop aansluitingen obv ULL'!E:E,MATCH(K77,'inkoop aansluitingen obv ULL'!B:B,0)))</f>
        <v>9.2350886055555534</v>
      </c>
      <c r="Q77" s="142">
        <f>IF('Rekenblad Aansluiting'!D77="",0,INDEX('inkoop aansluitingen obv ULL'!F:F,MATCH(K77,'inkoop aansluitingen obv ULL'!B:B,0)))</f>
        <v>76.89</v>
      </c>
      <c r="R77" s="136">
        <f>P77+Q77/'Parameters ULL'!$E$10</f>
        <v>11.370921938888888</v>
      </c>
      <c r="S77" s="138">
        <f>IF(RIGHT(C77,2)="CM",O77*MAX(Parameters!$B$2:$B$4),O77*Parameters!$B$3)</f>
        <v>10.277777777777779</v>
      </c>
      <c r="T77" s="142">
        <f>IF(RIGHT(C77,2)="CM",0,IF(LEFT(C77,2)="TZ",(('Vergoedingen grondslag'!$F$20+'Vergoedingen grondslag'!$I$20+'Vergoedingen grondslag'!$L$20+'Vergoedingen grondslag'!$O$20)*(M77)+('Vergoedingen grondslag'!$O$20*'Rekenblad Aansluiting'!$N77+'Vergoedingen grondslag'!$R$20+'Vergoedingen grondslag'!$U$20)/Parameters!$B$9),(('Vergoedingen grondslag'!$F$11+'Vergoedingen grondslag'!$I$11+'Vergoedingen grondslag'!$L$11+'Vergoedingen grondslag'!$O$11)*(M77))+('Vergoedingen grondslag'!$O$11*'Rekenblad Aansluiting'!$N77+'Vergoedingen grondslag'!$R$11+'Vergoedingen grondslag'!$U$11+'Vergoedingen grondslag'!$X$11)/36))</f>
        <v>4.0558333333333332</v>
      </c>
      <c r="U77" s="142">
        <f>M77*Parameters!$B$12</f>
        <v>0</v>
      </c>
      <c r="V77" s="136">
        <f t="shared" ref="V77:V79" si="182">SUM(S77:U77)</f>
        <v>14.333611111111111</v>
      </c>
      <c r="W77" s="142">
        <f t="shared" ref="W77:W79" si="183">R77+V77</f>
        <v>25.704533049999998</v>
      </c>
      <c r="X77" s="138">
        <f t="shared" ref="X77:X79" si="184">O77-W77</f>
        <v>77.073244727777777</v>
      </c>
      <c r="Y77" s="145">
        <f t="shared" ref="Y77:Y79" si="185">X77/O77</f>
        <v>0.74990184059459464</v>
      </c>
      <c r="Z77" s="120" t="b">
        <f t="shared" ref="Z77:Z79" si="186">Y77&lt;0</f>
        <v>0</v>
      </c>
      <c r="AA77" s="331" t="s">
        <v>868</v>
      </c>
      <c r="AB77" s="4">
        <v>1</v>
      </c>
      <c r="AD77" s="445">
        <f>IF(RIGHT(C77,2)="CM",M77*MAX(Parameters!$B$2:$B$4),M77*Parameters!$B$3)</f>
        <v>10</v>
      </c>
      <c r="AE77" s="149">
        <f>IF(RIGHT(C77,2)="CM",0,IF(LEFT(C77,2)="TZ",(('Vergoedingen grondslag'!$F$20+'Vergoedingen grondslag'!$I$20+'Vergoedingen grondslag'!$L$20+'Vergoedingen grondslag'!$O$20)*(M77)+('Vergoedingen grondslag'!$O$20*'Rekenblad Aansluiting'!$N77*0+'Vergoedingen grondslag'!$R$20+'Vergoedingen grondslag'!$U$20)/Parameters!$B$9),(('Vergoedingen grondslag'!$F$11+'Vergoedingen grondslag'!$I$11+'Vergoedingen grondslag'!$L$11+'Vergoedingen grondslag'!$O$11)*(M77))+('Vergoedingen grondslag'!$O$11*'Rekenblad Aansluiting'!$N77*0+'Vergoedingen grondslag'!$R$11+'Vergoedingen grondslag'!$U$11+'Vergoedingen grondslag'!$X$11)/36))</f>
        <v>4.0280555555555555</v>
      </c>
      <c r="AF77" s="652">
        <f>M77*Parameters!$B$12</f>
        <v>0</v>
      </c>
      <c r="AG77" s="774">
        <f t="shared" ref="AG77" si="187">SUM(AD77:AF77)</f>
        <v>14.028055555555556</v>
      </c>
      <c r="AH77" s="775">
        <f t="shared" si="20"/>
        <v>23.263144161111107</v>
      </c>
      <c r="AI77" s="447">
        <f t="shared" ref="AI77" si="188">M77-AH77</f>
        <v>76.736855838888886</v>
      </c>
      <c r="AJ77" s="173">
        <f t="shared" ref="AJ77" si="189">AI77/M77</f>
        <v>0.76736855838888884</v>
      </c>
      <c r="AK77" s="120" t="b">
        <f t="shared" ref="AK77" si="190">AJ77&lt;0</f>
        <v>0</v>
      </c>
    </row>
    <row r="78" spans="1:37" ht="14.4">
      <c r="A78" s="182" t="str">
        <f t="shared" si="179"/>
        <v>TZ ZBTISDN2100VVE nieuwe aanleg</v>
      </c>
      <c r="B78" s="120" t="str">
        <f t="shared" si="180"/>
        <v>TZ ZBTISDN2VVE nieuwe aanleg</v>
      </c>
      <c r="C78" s="133" t="s">
        <v>717</v>
      </c>
      <c r="D78" s="133" t="s">
        <v>465</v>
      </c>
      <c r="E78" s="133">
        <v>100</v>
      </c>
      <c r="F78" s="133" t="s">
        <v>4</v>
      </c>
      <c r="G78" s="133" t="s">
        <v>458</v>
      </c>
      <c r="H78" s="133" t="str">
        <f t="shared" ref="H78" si="191">D78&amp;F78</f>
        <v>ISDN2VVA</v>
      </c>
      <c r="I78" s="120" t="str">
        <f t="shared" ref="I78" si="192">D78&amp;G78</f>
        <v>ISDN2VVE nieuwe aanleg</v>
      </c>
      <c r="J78" s="493" t="str">
        <f>IF(D78="","",INDEX(Mapping!$H:$H,MATCH($H78,Mapping!$B:$B,0)))</f>
        <v>ISDN2VVA</v>
      </c>
      <c r="K78" s="494" t="str">
        <f>IF(D78="","",INDEX(Mapping!$H:$H,MATCH($I78,Mapping!$B:$B,0)))</f>
        <v>ISDN2VVE nieuwe aanleg</v>
      </c>
      <c r="L78" s="649">
        <f>MATCH(C78&amp;D78&amp;E78,'Tarieven ZM'!$B:$B,0)</f>
        <v>47</v>
      </c>
      <c r="M78" s="133">
        <f>INDEX('Tarieven ZM'!$F:$F,'Rekenblad Aansluiting'!$L78)</f>
        <v>100</v>
      </c>
      <c r="N78" s="133">
        <f>INDEX('Tarieven ZM'!$G:$H,'Rekenblad Aansluiting'!$L78,MATCH($G78,'Tarieven ZM'!$G$4:$H$4))</f>
        <v>100</v>
      </c>
      <c r="O78" s="136">
        <f>M78+N78/Parameters!$B$9</f>
        <v>102.77777777777777</v>
      </c>
      <c r="P78" s="495">
        <f>IF('Rekenblad Aansluiting'!D78="",0,INDEX('inkoop aansluitingen obv ULL'!E:E,MATCH(K78,'inkoop aansluitingen obv ULL'!B:B,0)))</f>
        <v>9.2350886055555534</v>
      </c>
      <c r="Q78" s="142">
        <f>IF('Rekenblad Aansluiting'!D78="",0,INDEX('inkoop aansluitingen obv ULL'!F:F,MATCH(K78,'inkoop aansluitingen obv ULL'!B:B,0)))</f>
        <v>76.89</v>
      </c>
      <c r="R78" s="136">
        <f>P78+Q78/'Parameters ULL'!$E$10</f>
        <v>11.370921938888888</v>
      </c>
      <c r="S78" s="138">
        <f>IF(RIGHT(C78,2)="CM",O78*MAX(Parameters!$B$2:$B$4),O78*Parameters!$B$3)</f>
        <v>10.277777777777779</v>
      </c>
      <c r="T78" s="142">
        <f>IF(RIGHT(C78,2)="CM",0,IF(LEFT(C78,2)="TZ",(('Vergoedingen grondslag'!$F$20+'Vergoedingen grondslag'!$I$20+'Vergoedingen grondslag'!$L$20+'Vergoedingen grondslag'!$O$20)*(M78)+('Vergoedingen grondslag'!$O$20*'Rekenblad Aansluiting'!$N78+'Vergoedingen grondslag'!$R$20+'Vergoedingen grondslag'!$U$20)/Parameters!$B$9),(('Vergoedingen grondslag'!$F$11+'Vergoedingen grondslag'!$I$11+'Vergoedingen grondslag'!$L$11+'Vergoedingen grondslag'!$O$11)*(M78))+('Vergoedingen grondslag'!$O$11*'Rekenblad Aansluiting'!$N78+'Vergoedingen grondslag'!$R$11+'Vergoedingen grondslag'!$U$11+'Vergoedingen grondslag'!$X$11)/36))</f>
        <v>4.0558333333333332</v>
      </c>
      <c r="U78" s="142">
        <f>M78*Parameters!$B$12</f>
        <v>0</v>
      </c>
      <c r="V78" s="136">
        <f t="shared" ref="V78" si="193">SUM(S78:U78)</f>
        <v>14.333611111111111</v>
      </c>
      <c r="W78" s="142">
        <f t="shared" ref="W78" si="194">R78+V78</f>
        <v>25.704533049999998</v>
      </c>
      <c r="X78" s="138">
        <f t="shared" ref="X78" si="195">O78-W78</f>
        <v>77.073244727777777</v>
      </c>
      <c r="Y78" s="145">
        <f t="shared" ref="Y78" si="196">X78/O78</f>
        <v>0.74990184059459464</v>
      </c>
      <c r="Z78" s="120" t="b">
        <f t="shared" ref="Z78" si="197">Y78&lt;0</f>
        <v>0</v>
      </c>
      <c r="AA78" s="331" t="s">
        <v>868</v>
      </c>
      <c r="AB78" s="4">
        <v>2</v>
      </c>
      <c r="AD78" s="445">
        <f>IF(RIGHT(C78,2)="CM",M78*MAX(Parameters!$B$2:$B$4),M78*Parameters!$B$3)</f>
        <v>10</v>
      </c>
      <c r="AE78" s="149">
        <f>IF(RIGHT(C78,2)="CM",0,IF(LEFT(C78,2)="TZ",(('Vergoedingen grondslag'!$F$20+'Vergoedingen grondslag'!$I$20+'Vergoedingen grondslag'!$L$20+'Vergoedingen grondslag'!$O$20)*(M78)+('Vergoedingen grondslag'!$O$20*'Rekenblad Aansluiting'!$N78*0+'Vergoedingen grondslag'!$R$20+'Vergoedingen grondslag'!$U$20)/Parameters!$B$9),(('Vergoedingen grondslag'!$F$11+'Vergoedingen grondslag'!$I$11+'Vergoedingen grondslag'!$L$11+'Vergoedingen grondslag'!$O$11)*(M78))+('Vergoedingen grondslag'!$O$11*'Rekenblad Aansluiting'!$N78*0+'Vergoedingen grondslag'!$R$11+'Vergoedingen grondslag'!$U$11+'Vergoedingen grondslag'!$X$11)/36))</f>
        <v>4.0280555555555555</v>
      </c>
      <c r="AF78" s="652">
        <f>M78*Parameters!$B$12</f>
        <v>0</v>
      </c>
      <c r="AG78" s="774">
        <f t="shared" ref="AG78" si="198">SUM(AD78:AF78)</f>
        <v>14.028055555555556</v>
      </c>
      <c r="AH78" s="775">
        <f t="shared" si="20"/>
        <v>23.263144161111107</v>
      </c>
      <c r="AI78" s="447">
        <f t="shared" ref="AI78" si="199">M78-AH78</f>
        <v>76.736855838888886</v>
      </c>
      <c r="AJ78" s="173">
        <f t="shared" ref="AJ78" si="200">AI78/M78</f>
        <v>0.76736855838888884</v>
      </c>
      <c r="AK78" s="120" t="b">
        <f t="shared" ref="AK78" si="201">AJ78&lt;0</f>
        <v>0</v>
      </c>
    </row>
    <row r="79" spans="1:37" ht="14.4">
      <c r="A79" s="182" t="str">
        <f t="shared" si="179"/>
        <v>TZ ZBTISDN15100VVE nieuwe aanleg</v>
      </c>
      <c r="B79" s="120" t="str">
        <f t="shared" si="180"/>
        <v>TZ ZBTISDN15VVE nieuwe aanleg</v>
      </c>
      <c r="C79" s="133" t="s">
        <v>717</v>
      </c>
      <c r="D79" s="133" t="s">
        <v>466</v>
      </c>
      <c r="E79" s="133">
        <v>100</v>
      </c>
      <c r="F79" s="133" t="s">
        <v>4</v>
      </c>
      <c r="G79" s="133" t="s">
        <v>458</v>
      </c>
      <c r="H79" s="133" t="str">
        <f t="shared" ref="H79" si="202">D79&amp;F79</f>
        <v>ISDN15VVA</v>
      </c>
      <c r="I79" s="120" t="str">
        <f t="shared" si="181"/>
        <v>ISDN15VVE nieuwe aanleg</v>
      </c>
      <c r="J79" s="493" t="str">
        <f>IF(D79="","",INDEX(Mapping!$H:$H,MATCH($H79,Mapping!$B:$B,0)))</f>
        <v>ISDN15VVA</v>
      </c>
      <c r="K79" s="494" t="str">
        <f>IF(D79="","",INDEX(Mapping!$H:$H,MATCH($I79,Mapping!$B:$B,0)))</f>
        <v>ISDN15VVE nieuwe aanleg</v>
      </c>
      <c r="L79" s="649">
        <f>MATCH(C79&amp;D79&amp;E79,'Tarieven ZM'!$B:$B,0)</f>
        <v>48</v>
      </c>
      <c r="M79" s="133">
        <f>INDEX('Tarieven ZM'!$F:$F,'Rekenblad Aansluiting'!$L79)</f>
        <v>100</v>
      </c>
      <c r="N79" s="133">
        <f>INDEX('Tarieven ZM'!$G:$H,'Rekenblad Aansluiting'!$L79,MATCH($G79,'Tarieven ZM'!$G$4:$H$4))</f>
        <v>100</v>
      </c>
      <c r="O79" s="136">
        <f>M79+N79/Parameters!$B$9</f>
        <v>102.77777777777777</v>
      </c>
      <c r="P79" s="495">
        <f>IF('Rekenblad Aansluiting'!D79="",0,INDEX('inkoop aansluitingen obv ULL'!E:E,MATCH(K79,'inkoop aansluitingen obv ULL'!B:B,0)))</f>
        <v>18.738178527777777</v>
      </c>
      <c r="Q79" s="142">
        <f>IF('Rekenblad Aansluiting'!D79="",0,INDEX('inkoop aansluitingen obv ULL'!F:F,MATCH(K79,'inkoop aansluitingen obv ULL'!B:B,0)))</f>
        <v>153.78</v>
      </c>
      <c r="R79" s="136">
        <f>P79+Q79/'Parameters ULL'!$E$10</f>
        <v>23.009845194444445</v>
      </c>
      <c r="S79" s="138">
        <f>IF(RIGHT(C79,2)="CM",O79*MAX(Parameters!$B$2:$B$4),O79*Parameters!$B$3)</f>
        <v>10.277777777777779</v>
      </c>
      <c r="T79" s="142">
        <f>IF(RIGHT(C79,2)="CM",0,IF(LEFT(C79,2)="TZ",(('Vergoedingen grondslag'!$F$20+'Vergoedingen grondslag'!$I$20+'Vergoedingen grondslag'!$L$20+'Vergoedingen grondslag'!$O$20)*(M79)+('Vergoedingen grondslag'!$O$20*'Rekenblad Aansluiting'!$N79+'Vergoedingen grondslag'!$R$20+'Vergoedingen grondslag'!$U$20)/Parameters!$B$9),(('Vergoedingen grondslag'!$F$11+'Vergoedingen grondslag'!$I$11+'Vergoedingen grondslag'!$L$11+'Vergoedingen grondslag'!$O$11)*(M79))+('Vergoedingen grondslag'!$O$11*'Rekenblad Aansluiting'!$N79+'Vergoedingen grondslag'!$R$11+'Vergoedingen grondslag'!$U$11+'Vergoedingen grondslag'!$X$11)/36))</f>
        <v>4.0558333333333332</v>
      </c>
      <c r="U79" s="142">
        <f>M79*Parameters!$B$12</f>
        <v>0</v>
      </c>
      <c r="V79" s="136">
        <f t="shared" si="182"/>
        <v>14.333611111111111</v>
      </c>
      <c r="W79" s="142">
        <f t="shared" si="183"/>
        <v>37.343456305555556</v>
      </c>
      <c r="X79" s="138">
        <f t="shared" si="184"/>
        <v>65.434321472222223</v>
      </c>
      <c r="Y79" s="145">
        <f t="shared" si="185"/>
        <v>0.63665826297297301</v>
      </c>
      <c r="Z79" s="120" t="b">
        <f t="shared" si="186"/>
        <v>0</v>
      </c>
      <c r="AA79" s="331" t="s">
        <v>868</v>
      </c>
      <c r="AB79" s="4">
        <v>1</v>
      </c>
      <c r="AD79" s="445">
        <f>IF(RIGHT(C79,2)="CM",M79*MAX(Parameters!$B$2:$B$4),M79*Parameters!$B$3)</f>
        <v>10</v>
      </c>
      <c r="AE79" s="149">
        <f>IF(RIGHT(C79,2)="CM",0,IF(LEFT(C79,2)="TZ",(('Vergoedingen grondslag'!$F$20+'Vergoedingen grondslag'!$I$20+'Vergoedingen grondslag'!$L$20+'Vergoedingen grondslag'!$O$20)*(M79)+('Vergoedingen grondslag'!$O$20*'Rekenblad Aansluiting'!$N79*0+'Vergoedingen grondslag'!$R$20+'Vergoedingen grondslag'!$U$20)/Parameters!$B$9),(('Vergoedingen grondslag'!$F$11+'Vergoedingen grondslag'!$I$11+'Vergoedingen grondslag'!$L$11+'Vergoedingen grondslag'!$O$11)*(M79))+('Vergoedingen grondslag'!$O$11*'Rekenblad Aansluiting'!$N79*0+'Vergoedingen grondslag'!$R$11+'Vergoedingen grondslag'!$U$11+'Vergoedingen grondslag'!$X$11)/36))</f>
        <v>4.0280555555555555</v>
      </c>
      <c r="AF79" s="652">
        <f>M79*Parameters!$B$12</f>
        <v>0</v>
      </c>
      <c r="AG79" s="774">
        <f t="shared" ref="AG79" si="203">SUM(AD79:AF79)</f>
        <v>14.028055555555556</v>
      </c>
      <c r="AH79" s="775">
        <f t="shared" si="20"/>
        <v>32.76623408333333</v>
      </c>
      <c r="AI79" s="447">
        <f t="shared" ref="AI79" si="204">M79-AH79</f>
        <v>67.23376591666667</v>
      </c>
      <c r="AJ79" s="173">
        <f t="shared" ref="AJ79" si="205">AI79/M79</f>
        <v>0.67233765916666666</v>
      </c>
      <c r="AK79" s="120" t="b">
        <f t="shared" ref="AK79" si="206">AJ79&lt;0</f>
        <v>0</v>
      </c>
    </row>
    <row r="80" spans="1:37" ht="14.4">
      <c r="A80" s="182" t="str">
        <f t="shared" ref="A80" si="207">C80&amp;D80&amp;E80&amp;G80</f>
        <v>TZ ZBTISDN20100VVE nieuwe aanleg</v>
      </c>
      <c r="B80" s="120" t="str">
        <f t="shared" ref="B80" si="208">C80&amp;D80&amp;G80</f>
        <v>TZ ZBTISDN20VVE nieuwe aanleg</v>
      </c>
      <c r="C80" s="133" t="s">
        <v>717</v>
      </c>
      <c r="D80" s="133" t="s">
        <v>468</v>
      </c>
      <c r="E80" s="133">
        <v>100</v>
      </c>
      <c r="F80" s="133" t="s">
        <v>4</v>
      </c>
      <c r="G80" s="133" t="s">
        <v>458</v>
      </c>
      <c r="H80" s="133" t="str">
        <f t="shared" ref="H80" si="209">D80&amp;F80</f>
        <v>ISDN20VVA</v>
      </c>
      <c r="I80" s="120" t="str">
        <f t="shared" ref="I80" si="210">D80&amp;G80</f>
        <v>ISDN20VVE nieuwe aanleg</v>
      </c>
      <c r="J80" s="493" t="str">
        <f>IF(D80="","",INDEX(Mapping!$H:$H,MATCH($H80,Mapping!$B:$B,0)))</f>
        <v>ISDN20VVA</v>
      </c>
      <c r="K80" s="494" t="str">
        <f>IF(D80="","",INDEX(Mapping!$H:$H,MATCH($I80,Mapping!$B:$B,0)))</f>
        <v>ISDN20VVE nieuwe aanleg</v>
      </c>
      <c r="L80" s="649">
        <f>MATCH(C80&amp;D80&amp;E80,'Tarieven ZM'!$B:$B,0)</f>
        <v>49</v>
      </c>
      <c r="M80" s="133">
        <f>INDEX('Tarieven ZM'!$F:$F,'Rekenblad Aansluiting'!$L80)</f>
        <v>100</v>
      </c>
      <c r="N80" s="133">
        <f>INDEX('Tarieven ZM'!$G:$H,'Rekenblad Aansluiting'!$L80,MATCH($G80,'Tarieven ZM'!$G$4:$H$4))</f>
        <v>100</v>
      </c>
      <c r="O80" s="136">
        <f>M80+N80/Parameters!$B$9</f>
        <v>102.77777777777777</v>
      </c>
      <c r="P80" s="495">
        <f>IF('Rekenblad Aansluiting'!D80="",0,INDEX('inkoop aansluitingen obv ULL'!E:E,MATCH(K80,'inkoop aansluitingen obv ULL'!B:B,0)))</f>
        <v>18.738178527777777</v>
      </c>
      <c r="Q80" s="142">
        <f>IF('Rekenblad Aansluiting'!D80="",0,INDEX('inkoop aansluitingen obv ULL'!F:F,MATCH(K80,'inkoop aansluitingen obv ULL'!B:B,0)))</f>
        <v>153.78</v>
      </c>
      <c r="R80" s="136">
        <f>P80+Q80/'Parameters ULL'!$E$10</f>
        <v>23.009845194444445</v>
      </c>
      <c r="S80" s="138">
        <f>IF(RIGHT(C80,2)="CM",O80*MAX(Parameters!$B$2:$B$4),O80*Parameters!$B$3)</f>
        <v>10.277777777777779</v>
      </c>
      <c r="T80" s="142">
        <f>IF(RIGHT(C80,2)="CM",0,IF(LEFT(C80,2)="TZ",(('Vergoedingen grondslag'!$F$20+'Vergoedingen grondslag'!$I$20+'Vergoedingen grondslag'!$L$20+'Vergoedingen grondslag'!$O$20)*(M80)+('Vergoedingen grondslag'!$O$20*'Rekenblad Aansluiting'!$N80+'Vergoedingen grondslag'!$R$20+'Vergoedingen grondslag'!$U$20)/Parameters!$B$9),(('Vergoedingen grondslag'!$F$11+'Vergoedingen grondslag'!$I$11+'Vergoedingen grondslag'!$L$11+'Vergoedingen grondslag'!$O$11)*(M80))+('Vergoedingen grondslag'!$O$11*'Rekenblad Aansluiting'!$N80+'Vergoedingen grondslag'!$R$11+'Vergoedingen grondslag'!$U$11+'Vergoedingen grondslag'!$X$11)/36))</f>
        <v>4.0558333333333332</v>
      </c>
      <c r="U80" s="142">
        <f>M80*Parameters!$B$12</f>
        <v>0</v>
      </c>
      <c r="V80" s="136">
        <f t="shared" ref="V80" si="211">SUM(S80:U80)</f>
        <v>14.333611111111111</v>
      </c>
      <c r="W80" s="142">
        <f t="shared" ref="W80" si="212">R80+V80</f>
        <v>37.343456305555556</v>
      </c>
      <c r="X80" s="138">
        <f t="shared" ref="X80" si="213">O80-W80</f>
        <v>65.434321472222223</v>
      </c>
      <c r="Y80" s="145">
        <f t="shared" ref="Y80" si="214">X80/O80</f>
        <v>0.63665826297297301</v>
      </c>
      <c r="Z80" s="120" t="b">
        <f t="shared" ref="Z80" si="215">Y80&lt;0</f>
        <v>0</v>
      </c>
      <c r="AA80" s="331" t="s">
        <v>868</v>
      </c>
      <c r="AB80" s="4">
        <v>1</v>
      </c>
      <c r="AD80" s="445">
        <f>IF(RIGHT(C80,2)="CM",M80*MAX(Parameters!$B$2:$B$4),M80*Parameters!$B$3)</f>
        <v>10</v>
      </c>
      <c r="AE80" s="149">
        <f>IF(RIGHT(C80,2)="CM",0,IF(LEFT(C80,2)="TZ",(('Vergoedingen grondslag'!$F$20+'Vergoedingen grondslag'!$I$20+'Vergoedingen grondslag'!$L$20+'Vergoedingen grondslag'!$O$20)*(M80)+('Vergoedingen grondslag'!$O$20*'Rekenblad Aansluiting'!$N80*0+'Vergoedingen grondslag'!$R$20+'Vergoedingen grondslag'!$U$20)/Parameters!$B$9),(('Vergoedingen grondslag'!$F$11+'Vergoedingen grondslag'!$I$11+'Vergoedingen grondslag'!$L$11+'Vergoedingen grondslag'!$O$11)*(M80))+('Vergoedingen grondslag'!$O$11*'Rekenblad Aansluiting'!$N80*0+'Vergoedingen grondslag'!$R$11+'Vergoedingen grondslag'!$U$11+'Vergoedingen grondslag'!$X$11)/36))</f>
        <v>4.0280555555555555</v>
      </c>
      <c r="AF80" s="652">
        <f>M80*Parameters!$B$12</f>
        <v>0</v>
      </c>
      <c r="AG80" s="774">
        <f t="shared" ref="AG80:AG81" si="216">SUM(AD80:AF80)</f>
        <v>14.028055555555556</v>
      </c>
      <c r="AH80" s="775">
        <f t="shared" si="20"/>
        <v>32.76623408333333</v>
      </c>
      <c r="AI80" s="447">
        <f t="shared" ref="AI80:AI81" si="217">M80-AH80</f>
        <v>67.23376591666667</v>
      </c>
      <c r="AJ80" s="173">
        <f t="shared" ref="AJ80:AJ81" si="218">AI80/M80</f>
        <v>0.67233765916666666</v>
      </c>
      <c r="AK80" s="120" t="b">
        <f t="shared" ref="AK80:AK81" si="219">AJ80&lt;0</f>
        <v>0</v>
      </c>
    </row>
    <row r="81" spans="1:37" ht="14.4">
      <c r="A81" s="182" t="str">
        <f t="shared" ref="A81" si="220">C81&amp;D81&amp;E81&amp;G81</f>
        <v>TZ ZBTISDN30 eerste aansluiting100VVE nieuwe aanleg</v>
      </c>
      <c r="B81" s="120" t="str">
        <f t="shared" ref="B81" si="221">C81&amp;D81&amp;G81</f>
        <v>TZ ZBTISDN30 eerste aansluitingVVE nieuwe aanleg</v>
      </c>
      <c r="C81" s="133" t="s">
        <v>717</v>
      </c>
      <c r="D81" s="133" t="s">
        <v>869</v>
      </c>
      <c r="E81" s="133">
        <v>100</v>
      </c>
      <c r="F81" s="133" t="s">
        <v>4</v>
      </c>
      <c r="G81" s="133" t="s">
        <v>458</v>
      </c>
      <c r="H81" s="133" t="str">
        <f t="shared" ref="H81" si="222">D81&amp;F81</f>
        <v>ISDN30 eerste aansluitingVVA</v>
      </c>
      <c r="I81" s="120" t="str">
        <f t="shared" ref="I81" si="223">D81&amp;G81</f>
        <v>ISDN30 eerste aansluitingVVE nieuwe aanleg</v>
      </c>
      <c r="J81" s="493" t="str">
        <f>IF(D81="","",INDEX(Mapping!$H:$H,MATCH($H81,Mapping!$B:$B,0)))</f>
        <v>ISDN30 eerste aansluitingVVA</v>
      </c>
      <c r="K81" s="494" t="str">
        <f>IF(D81="","",INDEX(Mapping!$H:$H,MATCH($I81,Mapping!$B:$B,0)))</f>
        <v>ISDN30 eerste aansluitingVVE nieuwe aanleg</v>
      </c>
      <c r="L81" s="649">
        <f>MATCH(C81&amp;D81&amp;E81,'Tarieven ZM'!$B:$B,0)</f>
        <v>50</v>
      </c>
      <c r="M81" s="133">
        <f>INDEX('Tarieven ZM'!$F:$F,'Rekenblad Aansluiting'!$L81)</f>
        <v>100</v>
      </c>
      <c r="N81" s="133">
        <f>INDEX('Tarieven ZM'!$G:$H,'Rekenblad Aansluiting'!$L81,MATCH($G81,'Tarieven ZM'!$G$4:$H$4))</f>
        <v>100</v>
      </c>
      <c r="O81" s="136">
        <f>M81+N81/Parameters!$B$9</f>
        <v>102.77777777777777</v>
      </c>
      <c r="P81" s="495">
        <f>IF('Rekenblad Aansluiting'!D81="",0,INDEX('inkoop aansluitingen obv ULL'!E:E,MATCH(K81,'inkoop aansluitingen obv ULL'!B:B,0)))</f>
        <v>18.738178527777777</v>
      </c>
      <c r="Q81" s="142">
        <f>IF('Rekenblad Aansluiting'!D81="",0,INDEX('inkoop aansluitingen obv ULL'!F:F,MATCH(K81,'inkoop aansluitingen obv ULL'!B:B,0)))</f>
        <v>153.78</v>
      </c>
      <c r="R81" s="136">
        <f>P81+Q81/'Parameters ULL'!$E$10</f>
        <v>23.009845194444445</v>
      </c>
      <c r="S81" s="138">
        <f>IF(RIGHT(C81,2)="CM",O81*MAX(Parameters!$B$2:$B$4),O81*Parameters!$B$3)</f>
        <v>10.277777777777779</v>
      </c>
      <c r="T81" s="142">
        <f>IF(RIGHT(C81,2)="CM",0,IF(LEFT(C81,2)="TZ",(('Vergoedingen grondslag'!$F$20+'Vergoedingen grondslag'!$I$20+'Vergoedingen grondslag'!$L$20+'Vergoedingen grondslag'!$O$20)*(M81)+('Vergoedingen grondslag'!$O$20*'Rekenblad Aansluiting'!$N81+'Vergoedingen grondslag'!$R$20+'Vergoedingen grondslag'!$U$20)/Parameters!$B$9),(('Vergoedingen grondslag'!$F$11+'Vergoedingen grondslag'!$I$11+'Vergoedingen grondslag'!$L$11+'Vergoedingen grondslag'!$O$11)*(M81))+('Vergoedingen grondslag'!$O$11*'Rekenblad Aansluiting'!$N81+'Vergoedingen grondslag'!$R$11+'Vergoedingen grondslag'!$U$11+'Vergoedingen grondslag'!$X$11)/36))</f>
        <v>4.0558333333333332</v>
      </c>
      <c r="U81" s="142">
        <f>M81*Parameters!$B$12</f>
        <v>0</v>
      </c>
      <c r="V81" s="136">
        <f t="shared" ref="V81" si="224">SUM(S81:U81)</f>
        <v>14.333611111111111</v>
      </c>
      <c r="W81" s="142">
        <f t="shared" ref="W81" si="225">R81+V81</f>
        <v>37.343456305555556</v>
      </c>
      <c r="X81" s="138">
        <f t="shared" ref="X81" si="226">O81-W81</f>
        <v>65.434321472222223</v>
      </c>
      <c r="Y81" s="145">
        <f t="shared" ref="Y81" si="227">X81/O81</f>
        <v>0.63665826297297301</v>
      </c>
      <c r="Z81" s="120" t="b">
        <f t="shared" ref="Z81" si="228">Y81&lt;0</f>
        <v>0</v>
      </c>
      <c r="AA81" s="331" t="s">
        <v>868</v>
      </c>
      <c r="AB81" s="4">
        <v>1</v>
      </c>
      <c r="AD81" s="445">
        <f>IF(RIGHT(C81,2)="CM",M81*MAX(Parameters!$B$2:$B$4),M81*Parameters!$B$3)</f>
        <v>10</v>
      </c>
      <c r="AE81" s="149">
        <f>IF(RIGHT(C81,2)="CM",0,IF(LEFT(C81,2)="TZ",(('Vergoedingen grondslag'!$F$20+'Vergoedingen grondslag'!$I$20+'Vergoedingen grondslag'!$L$20+'Vergoedingen grondslag'!$O$20)*(M81)+('Vergoedingen grondslag'!$O$20*'Rekenblad Aansluiting'!$N81*0+'Vergoedingen grondslag'!$R$20+'Vergoedingen grondslag'!$U$20)/Parameters!$B$9),(('Vergoedingen grondslag'!$F$11+'Vergoedingen grondslag'!$I$11+'Vergoedingen grondslag'!$L$11+'Vergoedingen grondslag'!$O$11)*(M81))+('Vergoedingen grondslag'!$O$11*'Rekenblad Aansluiting'!$N81*0+'Vergoedingen grondslag'!$R$11+'Vergoedingen grondslag'!$U$11+'Vergoedingen grondslag'!$X$11)/36))</f>
        <v>4.0280555555555555</v>
      </c>
      <c r="AF81" s="652">
        <f>M81*Parameters!$B$12</f>
        <v>0</v>
      </c>
      <c r="AG81" s="774">
        <f t="shared" si="216"/>
        <v>14.028055555555556</v>
      </c>
      <c r="AH81" s="775">
        <f t="shared" si="20"/>
        <v>32.76623408333333</v>
      </c>
      <c r="AI81" s="447">
        <f t="shared" si="217"/>
        <v>67.23376591666667</v>
      </c>
      <c r="AJ81" s="173">
        <f t="shared" si="218"/>
        <v>0.67233765916666666</v>
      </c>
      <c r="AK81" s="120" t="b">
        <f t="shared" si="219"/>
        <v>0</v>
      </c>
    </row>
    <row r="82" spans="1:37" ht="14.4">
      <c r="A82" s="182" t="str">
        <f t="shared" ref="A82" si="229">C82&amp;D82&amp;E82&amp;G82</f>
        <v>TZ ZBTCityphone100VVE nieuwe aanleg</v>
      </c>
      <c r="B82" s="120" t="str">
        <f t="shared" ref="B82" si="230">C82&amp;D82&amp;G82</f>
        <v>TZ ZBTCityphoneVVE nieuwe aanleg</v>
      </c>
      <c r="C82" s="133" t="s">
        <v>717</v>
      </c>
      <c r="D82" s="133" t="s">
        <v>520</v>
      </c>
      <c r="E82" s="133">
        <v>100</v>
      </c>
      <c r="F82" s="133" t="s">
        <v>4</v>
      </c>
      <c r="G82" s="133" t="s">
        <v>458</v>
      </c>
      <c r="H82" s="133" t="str">
        <f t="shared" ref="H82:H85" si="231">D82&amp;F82</f>
        <v>CityphoneVVA</v>
      </c>
      <c r="I82" s="120" t="str">
        <f t="shared" ref="I82:I85" si="232">D82&amp;G82</f>
        <v>CityphoneVVE nieuwe aanleg</v>
      </c>
      <c r="J82" s="493" t="str">
        <f>IF(D82="","",INDEX(Mapping!$H:$H,MATCH($H82,Mapping!$B:$B,0)))</f>
        <v>CityPhoneVVA</v>
      </c>
      <c r="K82" s="494" t="str">
        <f>IF(D82="","",INDEX(Mapping!$H:$H,MATCH($I82,Mapping!$B:$B,0)))</f>
        <v>CityPhoneVVE nieuwe aanleg</v>
      </c>
      <c r="L82" s="649">
        <f>MATCH(C82&amp;D82&amp;E82,'Tarieven ZM'!$B:$B,0)</f>
        <v>51</v>
      </c>
      <c r="M82" s="133">
        <f>INDEX('Tarieven ZM'!$F:$F,'Rekenblad Aansluiting'!$L82)</f>
        <v>100</v>
      </c>
      <c r="N82" s="133">
        <f>INDEX('Tarieven ZM'!$G:$H,'Rekenblad Aansluiting'!$L82,MATCH($G82,'Tarieven ZM'!$G$4:$H$4))</f>
        <v>100</v>
      </c>
      <c r="O82" s="136">
        <f>M82+N82/Parameters!$B$9</f>
        <v>102.77777777777777</v>
      </c>
      <c r="P82" s="495">
        <f>IF('Rekenblad Aansluiting'!D82="",0,INDEX('inkoop aansluitingen obv ULL'!E:E,MATCH(K82,'inkoop aansluitingen obv ULL'!B:B,0)))</f>
        <v>0.42000000000000004</v>
      </c>
      <c r="Q82" s="142">
        <f>IF('Rekenblad Aansluiting'!D82="",0,INDEX('inkoop aansluitingen obv ULL'!F:F,MATCH(K82,'inkoop aansluitingen obv ULL'!B:B,0)))</f>
        <v>3.6</v>
      </c>
      <c r="R82" s="136">
        <f>P82+Q82/'Parameters ULL'!$E$10</f>
        <v>0.52</v>
      </c>
      <c r="S82" s="138">
        <f>IF(RIGHT(C82,2)="CM",O82*MAX(Parameters!$B$2:$B$4),O82*Parameters!$B$3)</f>
        <v>10.277777777777779</v>
      </c>
      <c r="T82" s="142">
        <f>IF(RIGHT(C82,2)="CM",0,IF(LEFT(C82,2)="TZ",(('Vergoedingen grondslag'!$F$20+'Vergoedingen grondslag'!$I$20+'Vergoedingen grondslag'!$L$20+'Vergoedingen grondslag'!$O$20)*(M82)+('Vergoedingen grondslag'!$O$20*'Rekenblad Aansluiting'!$N82+'Vergoedingen grondslag'!$R$20+'Vergoedingen grondslag'!$U$20)/Parameters!$B$9),(('Vergoedingen grondslag'!$F$11+'Vergoedingen grondslag'!$I$11+'Vergoedingen grondslag'!$L$11+'Vergoedingen grondslag'!$O$11)*(M82))+('Vergoedingen grondslag'!$O$11*'Rekenblad Aansluiting'!$N82+'Vergoedingen grondslag'!$R$11+'Vergoedingen grondslag'!$U$11+'Vergoedingen grondslag'!$X$11)/36))</f>
        <v>4.0558333333333332</v>
      </c>
      <c r="U82" s="142">
        <f>M82*Parameters!$B$12</f>
        <v>0</v>
      </c>
      <c r="V82" s="136">
        <f t="shared" ref="V82:V85" si="233">SUM(S82:U82)</f>
        <v>14.333611111111111</v>
      </c>
      <c r="W82" s="142">
        <f t="shared" ref="W82:W85" si="234">R82+V82</f>
        <v>14.85361111111111</v>
      </c>
      <c r="X82" s="138">
        <f t="shared" ref="X82:X85" si="235">O82-W82</f>
        <v>87.924166666666665</v>
      </c>
      <c r="Y82" s="145">
        <f t="shared" ref="Y82:Y85" si="236">X82/O82</f>
        <v>0.85547837837837837</v>
      </c>
      <c r="Z82" s="120" t="b">
        <f t="shared" ref="Z82:Z85" si="237">Y82&lt;0</f>
        <v>0</v>
      </c>
      <c r="AA82" s="331" t="s">
        <v>868</v>
      </c>
      <c r="AB82" s="4">
        <v>1</v>
      </c>
      <c r="AD82" s="445">
        <f>IF(RIGHT(C82,2)="CM",M82*MAX(Parameters!$B$2:$B$4),M82*Parameters!$B$3)</f>
        <v>10</v>
      </c>
      <c r="AE82" s="149">
        <f>IF(RIGHT(C82,2)="CM",0,IF(LEFT(C82,2)="TZ",(('Vergoedingen grondslag'!$F$20+'Vergoedingen grondslag'!$I$20+'Vergoedingen grondslag'!$L$20+'Vergoedingen grondslag'!$O$20)*(M82)+('Vergoedingen grondslag'!$O$20*'Rekenblad Aansluiting'!$N82*0+'Vergoedingen grondslag'!$R$20+'Vergoedingen grondslag'!$U$20)/Parameters!$B$9),(('Vergoedingen grondslag'!$F$11+'Vergoedingen grondslag'!$I$11+'Vergoedingen grondslag'!$L$11+'Vergoedingen grondslag'!$O$11)*(M82))+('Vergoedingen grondslag'!$O$11*'Rekenblad Aansluiting'!$N82*0+'Vergoedingen grondslag'!$R$11+'Vergoedingen grondslag'!$U$11+'Vergoedingen grondslag'!$X$11)/36))</f>
        <v>4.0280555555555555</v>
      </c>
      <c r="AF82" s="652">
        <f>M82*Parameters!$B$12</f>
        <v>0</v>
      </c>
      <c r="AG82" s="774">
        <f t="shared" ref="AG82:AG83" si="238">SUM(AD82:AF82)</f>
        <v>14.028055555555556</v>
      </c>
      <c r="AH82" s="775">
        <f t="shared" si="20"/>
        <v>14.448055555555555</v>
      </c>
      <c r="AI82" s="447">
        <f t="shared" ref="AI82:AI83" si="239">M82-AH82</f>
        <v>85.551944444444445</v>
      </c>
      <c r="AJ82" s="173">
        <f t="shared" ref="AJ82:AJ83" si="240">AI82/M82</f>
        <v>0.8555194444444445</v>
      </c>
      <c r="AK82" s="120" t="b">
        <f t="shared" ref="AK82:AK83" si="241">AJ82&lt;0</f>
        <v>0</v>
      </c>
    </row>
    <row r="83" spans="1:37" ht="14.4">
      <c r="A83" s="182" t="str">
        <f t="shared" ref="A83" si="242">C83&amp;D83&amp;E83&amp;G83</f>
        <v>TZ ZBTPSTN100VVE overstap</v>
      </c>
      <c r="B83" s="120" t="str">
        <f t="shared" ref="B83" si="243">C83&amp;D83&amp;G83</f>
        <v>TZ ZBTPSTNVVE overstap</v>
      </c>
      <c r="C83" s="133" t="s">
        <v>717</v>
      </c>
      <c r="D83" s="133" t="s">
        <v>463</v>
      </c>
      <c r="E83" s="133">
        <v>100</v>
      </c>
      <c r="F83" s="133" t="s">
        <v>4</v>
      </c>
      <c r="G83" s="133" t="s">
        <v>459</v>
      </c>
      <c r="H83" s="133" t="str">
        <f t="shared" ref="H83" si="244">D83&amp;F83</f>
        <v>PSTNVVA</v>
      </c>
      <c r="I83" s="120" t="str">
        <f t="shared" ref="I83" si="245">D83&amp;G83</f>
        <v>PSTNVVE overstap</v>
      </c>
      <c r="J83" s="493" t="str">
        <f>IF(D83="","",INDEX(Mapping!$H:$H,MATCH($H83,Mapping!$B:$B,0)))</f>
        <v>PSTNVVA</v>
      </c>
      <c r="K83" s="494" t="str">
        <f>IF(D83="","",INDEX(Mapping!$H:$H,MATCH($I83,Mapping!$B:$B,0)))</f>
        <v>PSTNVVE overstap</v>
      </c>
      <c r="L83" s="649">
        <f>MATCH(C83&amp;D83&amp;E83,'Tarieven ZM'!$B:$B,0)</f>
        <v>45</v>
      </c>
      <c r="M83" s="133">
        <f>INDEX('Tarieven ZM'!$F:$F,'Rekenblad Aansluiting'!$L83)</f>
        <v>100</v>
      </c>
      <c r="N83" s="133">
        <f>INDEX('Tarieven ZM'!$G:$H,'Rekenblad Aansluiting'!$L83,MATCH($G83,'Tarieven ZM'!$G$4:$H$4))</f>
        <v>100</v>
      </c>
      <c r="O83" s="136">
        <f>M83+N83/Parameters!$B$9</f>
        <v>102.77777777777777</v>
      </c>
      <c r="P83" s="495">
        <f>IF('Rekenblad Aansluiting'!D83="",0,INDEX('inkoop aansluitingen obv ULL'!E:E,MATCH(K83,'inkoop aansluitingen obv ULL'!B:B,0)))</f>
        <v>9.2350886055555534</v>
      </c>
      <c r="Q83" s="142">
        <f>IF('Rekenblad Aansluiting'!D83="",0,INDEX('inkoop aansluitingen obv ULL'!F:F,MATCH(K83,'inkoop aansluitingen obv ULL'!B:B,0)))</f>
        <v>19.29</v>
      </c>
      <c r="R83" s="136">
        <f>P83+Q83/'Parameters ULL'!$E$10</f>
        <v>9.7709219388888862</v>
      </c>
      <c r="S83" s="138">
        <f>IF(RIGHT(C83,2)="CM",O83*MAX(Parameters!$B$2:$B$4),O83*Parameters!$B$3)</f>
        <v>10.277777777777779</v>
      </c>
      <c r="T83" s="142">
        <f>IF(RIGHT(C83,2)="CM",0,IF(LEFT(C83,2)="TZ",(('Vergoedingen grondslag'!$F$20+'Vergoedingen grondslag'!$I$20+'Vergoedingen grondslag'!$L$20+'Vergoedingen grondslag'!$O$20)*(M83)+('Vergoedingen grondslag'!$O$20*'Rekenblad Aansluiting'!$N83+'Vergoedingen grondslag'!$R$20+'Vergoedingen grondslag'!$U$20)/Parameters!$B$9),(('Vergoedingen grondslag'!$F$11+'Vergoedingen grondslag'!$I$11+'Vergoedingen grondslag'!$L$11+'Vergoedingen grondslag'!$O$11)*(M83))+('Vergoedingen grondslag'!$O$11*'Rekenblad Aansluiting'!$N83+'Vergoedingen grondslag'!$R$11+'Vergoedingen grondslag'!$U$11+'Vergoedingen grondslag'!$X$11)/36))</f>
        <v>4.0558333333333332</v>
      </c>
      <c r="U83" s="142">
        <f>M83*Parameters!$B$12</f>
        <v>0</v>
      </c>
      <c r="V83" s="136">
        <f t="shared" ref="V83" si="246">SUM(S83:U83)</f>
        <v>14.333611111111111</v>
      </c>
      <c r="W83" s="142">
        <f t="shared" ref="W83" si="247">R83+V83</f>
        <v>24.104533049999997</v>
      </c>
      <c r="X83" s="138">
        <f t="shared" ref="X83" si="248">O83-W83</f>
        <v>78.673244727777771</v>
      </c>
      <c r="Y83" s="145">
        <f t="shared" ref="Y83" si="249">X83/O83</f>
        <v>0.76546940816216213</v>
      </c>
      <c r="Z83" s="120" t="b">
        <f t="shared" ref="Z83" si="250">Y83&lt;0</f>
        <v>0</v>
      </c>
      <c r="AA83" s="331" t="s">
        <v>868</v>
      </c>
      <c r="AB83" s="4">
        <v>1</v>
      </c>
      <c r="AD83" s="445">
        <f>IF(RIGHT(C83,2)="CM",M83*MAX(Parameters!$B$2:$B$4),M83*Parameters!$B$3)</f>
        <v>10</v>
      </c>
      <c r="AE83" s="149">
        <f>IF(RIGHT(C83,2)="CM",0,IF(LEFT(C83,2)="TZ",(('Vergoedingen grondslag'!$F$20+'Vergoedingen grondslag'!$I$20+'Vergoedingen grondslag'!$L$20+'Vergoedingen grondslag'!$O$20)*(M83)+('Vergoedingen grondslag'!$O$20*'Rekenblad Aansluiting'!$N83*0+'Vergoedingen grondslag'!$R$20+'Vergoedingen grondslag'!$U$20)/Parameters!$B$9),(('Vergoedingen grondslag'!$F$11+'Vergoedingen grondslag'!$I$11+'Vergoedingen grondslag'!$L$11+'Vergoedingen grondslag'!$O$11)*(M83))+('Vergoedingen grondslag'!$O$11*'Rekenblad Aansluiting'!$N83*0+'Vergoedingen grondslag'!$R$11+'Vergoedingen grondslag'!$U$11+'Vergoedingen grondslag'!$X$11)/36))</f>
        <v>4.0280555555555555</v>
      </c>
      <c r="AF83" s="652">
        <f>M83*Parameters!$B$12</f>
        <v>0</v>
      </c>
      <c r="AG83" s="774">
        <f t="shared" si="238"/>
        <v>14.028055555555556</v>
      </c>
      <c r="AH83" s="775">
        <f t="shared" si="20"/>
        <v>23.263144161111107</v>
      </c>
      <c r="AI83" s="447">
        <f t="shared" si="239"/>
        <v>76.736855838888886</v>
      </c>
      <c r="AJ83" s="173">
        <f t="shared" si="240"/>
        <v>0.76736855838888884</v>
      </c>
      <c r="AK83" s="120" t="b">
        <f t="shared" si="241"/>
        <v>0</v>
      </c>
    </row>
    <row r="84" spans="1:37" ht="14.4">
      <c r="A84" s="182" t="str">
        <f t="shared" ref="A84:A86" si="251">C84&amp;D84&amp;E84&amp;G84</f>
        <v>TZ ZBTISDN1100VVE overstap</v>
      </c>
      <c r="B84" s="120" t="str">
        <f t="shared" ref="B84:B86" si="252">C84&amp;D84&amp;G84</f>
        <v>TZ ZBTISDN1VVE overstap</v>
      </c>
      <c r="C84" s="133" t="s">
        <v>717</v>
      </c>
      <c r="D84" s="133" t="s">
        <v>464</v>
      </c>
      <c r="E84" s="133">
        <v>100</v>
      </c>
      <c r="F84" s="133" t="s">
        <v>4</v>
      </c>
      <c r="G84" s="133" t="s">
        <v>459</v>
      </c>
      <c r="H84" s="133" t="str">
        <f t="shared" si="231"/>
        <v>ISDN1VVA</v>
      </c>
      <c r="I84" s="120" t="str">
        <f t="shared" si="232"/>
        <v>ISDN1VVE overstap</v>
      </c>
      <c r="J84" s="493" t="str">
        <f>IF(D84="","",INDEX(Mapping!$H:$H,MATCH($H84,Mapping!$B:$B,0)))</f>
        <v>ISDN1VVA</v>
      </c>
      <c r="K84" s="494" t="str">
        <f>IF(D84="","",INDEX(Mapping!$H:$H,MATCH($I84,Mapping!$B:$B,0)))</f>
        <v>ISDN1VVE overstap</v>
      </c>
      <c r="L84" s="649">
        <f>MATCH(C84&amp;D84&amp;E84,'Tarieven ZM'!$B:$B,0)</f>
        <v>46</v>
      </c>
      <c r="M84" s="133">
        <f>INDEX('Tarieven ZM'!$F:$F,'Rekenblad Aansluiting'!$L84)</f>
        <v>100</v>
      </c>
      <c r="N84" s="133">
        <f>INDEX('Tarieven ZM'!$G:$H,'Rekenblad Aansluiting'!$L84,MATCH($G84,'Tarieven ZM'!$G$4:$H$4))</f>
        <v>100</v>
      </c>
      <c r="O84" s="136">
        <f>M84+N84/Parameters!$B$9</f>
        <v>102.77777777777777</v>
      </c>
      <c r="P84" s="495">
        <f>IF('Rekenblad Aansluiting'!D84="",0,INDEX('inkoop aansluitingen obv ULL'!E:E,MATCH(K84,'inkoop aansluitingen obv ULL'!B:B,0)))</f>
        <v>9.2350886055555534</v>
      </c>
      <c r="Q84" s="142">
        <f>IF('Rekenblad Aansluiting'!D84="",0,INDEX('inkoop aansluitingen obv ULL'!F:F,MATCH(K84,'inkoop aansluitingen obv ULL'!B:B,0)))</f>
        <v>19.29</v>
      </c>
      <c r="R84" s="136">
        <f>P84+Q84/'Parameters ULL'!$E$10</f>
        <v>9.7709219388888862</v>
      </c>
      <c r="S84" s="138">
        <f>IF(RIGHT(C84,2)="CM",O84*MAX(Parameters!$B$2:$B$4),O84*Parameters!$B$3)</f>
        <v>10.277777777777779</v>
      </c>
      <c r="T84" s="142">
        <f>IF(RIGHT(C84,2)="CM",0,IF(LEFT(C84,2)="TZ",(('Vergoedingen grondslag'!$F$20+'Vergoedingen grondslag'!$I$20+'Vergoedingen grondslag'!$L$20+'Vergoedingen grondslag'!$O$20)*(M84)+('Vergoedingen grondslag'!$O$20*'Rekenblad Aansluiting'!$N84+'Vergoedingen grondslag'!$R$20+'Vergoedingen grondslag'!$U$20)/Parameters!$B$9),(('Vergoedingen grondslag'!$F$11+'Vergoedingen grondslag'!$I$11+'Vergoedingen grondslag'!$L$11+'Vergoedingen grondslag'!$O$11)*(M84))+('Vergoedingen grondslag'!$O$11*'Rekenblad Aansluiting'!$N84+'Vergoedingen grondslag'!$R$11+'Vergoedingen grondslag'!$U$11+'Vergoedingen grondslag'!$X$11)/36))</f>
        <v>4.0558333333333332</v>
      </c>
      <c r="U84" s="142">
        <f>M84*Parameters!$B$12</f>
        <v>0</v>
      </c>
      <c r="V84" s="136">
        <f t="shared" si="233"/>
        <v>14.333611111111111</v>
      </c>
      <c r="W84" s="142">
        <f t="shared" si="234"/>
        <v>24.104533049999997</v>
      </c>
      <c r="X84" s="138">
        <f t="shared" si="235"/>
        <v>78.673244727777771</v>
      </c>
      <c r="Y84" s="145">
        <f t="shared" si="236"/>
        <v>0.76546940816216213</v>
      </c>
      <c r="Z84" s="120" t="b">
        <f t="shared" si="237"/>
        <v>0</v>
      </c>
      <c r="AA84" s="331" t="s">
        <v>868</v>
      </c>
      <c r="AB84" s="4">
        <v>1</v>
      </c>
      <c r="AD84" s="445">
        <f>IF(RIGHT(C84,2)="CM",M84*MAX(Parameters!$B$2:$B$4),M84*Parameters!$B$3)</f>
        <v>10</v>
      </c>
      <c r="AE84" s="149">
        <f>IF(RIGHT(C84,2)="CM",0,IF(LEFT(C84,2)="TZ",(('Vergoedingen grondslag'!$F$20+'Vergoedingen grondslag'!$I$20+'Vergoedingen grondslag'!$L$20+'Vergoedingen grondslag'!$O$20)*(M84)+('Vergoedingen grondslag'!$O$20*'Rekenblad Aansluiting'!$N84*0+'Vergoedingen grondslag'!$R$20+'Vergoedingen grondslag'!$U$20)/Parameters!$B$9),(('Vergoedingen grondslag'!$F$11+'Vergoedingen grondslag'!$I$11+'Vergoedingen grondslag'!$L$11+'Vergoedingen grondslag'!$O$11)*(M84))+('Vergoedingen grondslag'!$O$11*'Rekenblad Aansluiting'!$N84*0+'Vergoedingen grondslag'!$R$11+'Vergoedingen grondslag'!$U$11+'Vergoedingen grondslag'!$X$11)/36))</f>
        <v>4.0280555555555555</v>
      </c>
      <c r="AF84" s="652">
        <f>M84*Parameters!$B$12</f>
        <v>0</v>
      </c>
      <c r="AG84" s="774">
        <f t="shared" ref="AG84:AG85" si="253">SUM(AD84:AF84)</f>
        <v>14.028055555555556</v>
      </c>
      <c r="AH84" s="775">
        <f t="shared" si="20"/>
        <v>23.263144161111107</v>
      </c>
      <c r="AI84" s="447">
        <f t="shared" ref="AI84:AI85" si="254">M84-AH84</f>
        <v>76.736855838888886</v>
      </c>
      <c r="AJ84" s="173">
        <f t="shared" ref="AJ84:AJ85" si="255">AI84/M84</f>
        <v>0.76736855838888884</v>
      </c>
      <c r="AK84" s="120" t="b">
        <f t="shared" ref="AK84:AK85" si="256">AJ84&lt;0</f>
        <v>0</v>
      </c>
    </row>
    <row r="85" spans="1:37" ht="14.4">
      <c r="A85" s="182" t="str">
        <f t="shared" si="251"/>
        <v>TZ ZBTISDN2100VVE overstap</v>
      </c>
      <c r="B85" s="120" t="str">
        <f t="shared" si="252"/>
        <v>TZ ZBTISDN2VVE overstap</v>
      </c>
      <c r="C85" s="133" t="s">
        <v>717</v>
      </c>
      <c r="D85" s="133" t="s">
        <v>465</v>
      </c>
      <c r="E85" s="133">
        <v>100</v>
      </c>
      <c r="F85" s="133" t="s">
        <v>4</v>
      </c>
      <c r="G85" s="133" t="s">
        <v>459</v>
      </c>
      <c r="H85" s="133" t="str">
        <f t="shared" si="231"/>
        <v>ISDN2VVA</v>
      </c>
      <c r="I85" s="120" t="str">
        <f t="shared" si="232"/>
        <v>ISDN2VVE overstap</v>
      </c>
      <c r="J85" s="493" t="str">
        <f>IF(D85="","",INDEX(Mapping!$H:$H,MATCH($H85,Mapping!$B:$B,0)))</f>
        <v>ISDN2VVA</v>
      </c>
      <c r="K85" s="494" t="str">
        <f>IF(D85="","",INDEX(Mapping!$H:$H,MATCH($I85,Mapping!$B:$B,0)))</f>
        <v>ISDN2VVE overstap</v>
      </c>
      <c r="L85" s="649">
        <f>MATCH(C85&amp;D85&amp;E85,'Tarieven ZM'!$B:$B,0)</f>
        <v>47</v>
      </c>
      <c r="M85" s="133">
        <f>INDEX('Tarieven ZM'!$F:$F,'Rekenblad Aansluiting'!$L85)</f>
        <v>100</v>
      </c>
      <c r="N85" s="133">
        <f>INDEX('Tarieven ZM'!$G:$H,'Rekenblad Aansluiting'!$L85,MATCH($G85,'Tarieven ZM'!$G$4:$H$4))</f>
        <v>100</v>
      </c>
      <c r="O85" s="136">
        <f>M85+N85/Parameters!$B$9</f>
        <v>102.77777777777777</v>
      </c>
      <c r="P85" s="495">
        <f>IF('Rekenblad Aansluiting'!D85="",0,INDEX('inkoop aansluitingen obv ULL'!E:E,MATCH(K85,'inkoop aansluitingen obv ULL'!B:B,0)))</f>
        <v>9.2350886055555534</v>
      </c>
      <c r="Q85" s="142">
        <f>IF('Rekenblad Aansluiting'!D85="",0,INDEX('inkoop aansluitingen obv ULL'!F:F,MATCH(K85,'inkoop aansluitingen obv ULL'!B:B,0)))</f>
        <v>19.29</v>
      </c>
      <c r="R85" s="136">
        <f>P85+Q85/'Parameters ULL'!$E$10</f>
        <v>9.7709219388888862</v>
      </c>
      <c r="S85" s="138">
        <f>IF(RIGHT(C85,2)="CM",O85*MAX(Parameters!$B$2:$B$4),O85*Parameters!$B$3)</f>
        <v>10.277777777777779</v>
      </c>
      <c r="T85" s="142">
        <f>IF(RIGHT(C85,2)="CM",0,IF(LEFT(C85,2)="TZ",(('Vergoedingen grondslag'!$F$20+'Vergoedingen grondslag'!$I$20+'Vergoedingen grondslag'!$L$20+'Vergoedingen grondslag'!$O$20)*(M85)+('Vergoedingen grondslag'!$O$20*'Rekenblad Aansluiting'!$N85+'Vergoedingen grondslag'!$R$20+'Vergoedingen grondslag'!$U$20)/Parameters!$B$9),(('Vergoedingen grondslag'!$F$11+'Vergoedingen grondslag'!$I$11+'Vergoedingen grondslag'!$L$11+'Vergoedingen grondslag'!$O$11)*(M85))+('Vergoedingen grondslag'!$O$11*'Rekenblad Aansluiting'!$N85+'Vergoedingen grondslag'!$R$11+'Vergoedingen grondslag'!$U$11+'Vergoedingen grondslag'!$X$11)/36))</f>
        <v>4.0558333333333332</v>
      </c>
      <c r="U85" s="142">
        <f>M85*Parameters!$B$12</f>
        <v>0</v>
      </c>
      <c r="V85" s="136">
        <f t="shared" si="233"/>
        <v>14.333611111111111</v>
      </c>
      <c r="W85" s="142">
        <f t="shared" si="234"/>
        <v>24.104533049999997</v>
      </c>
      <c r="X85" s="138">
        <f t="shared" si="235"/>
        <v>78.673244727777771</v>
      </c>
      <c r="Y85" s="145">
        <f t="shared" si="236"/>
        <v>0.76546940816216213</v>
      </c>
      <c r="Z85" s="120" t="b">
        <f t="shared" si="237"/>
        <v>0</v>
      </c>
      <c r="AA85" s="331" t="s">
        <v>868</v>
      </c>
      <c r="AB85" s="4">
        <v>1</v>
      </c>
      <c r="AD85" s="445">
        <f>IF(RIGHT(C85,2)="CM",M85*MAX(Parameters!$B$2:$B$4),M85*Parameters!$B$3)</f>
        <v>10</v>
      </c>
      <c r="AE85" s="149">
        <f>IF(RIGHT(C85,2)="CM",0,IF(LEFT(C85,2)="TZ",(('Vergoedingen grondslag'!$F$20+'Vergoedingen grondslag'!$I$20+'Vergoedingen grondslag'!$L$20+'Vergoedingen grondslag'!$O$20)*(M85)+('Vergoedingen grondslag'!$O$20*'Rekenblad Aansluiting'!$N85*0+'Vergoedingen grondslag'!$R$20+'Vergoedingen grondslag'!$U$20)/Parameters!$B$9),(('Vergoedingen grondslag'!$F$11+'Vergoedingen grondslag'!$I$11+'Vergoedingen grondslag'!$L$11+'Vergoedingen grondslag'!$O$11)*(M85))+('Vergoedingen grondslag'!$O$11*'Rekenblad Aansluiting'!$N85*0+'Vergoedingen grondslag'!$R$11+'Vergoedingen grondslag'!$U$11+'Vergoedingen grondslag'!$X$11)/36))</f>
        <v>4.0280555555555555</v>
      </c>
      <c r="AF85" s="652">
        <f>M85*Parameters!$B$12</f>
        <v>0</v>
      </c>
      <c r="AG85" s="774">
        <f t="shared" si="253"/>
        <v>14.028055555555556</v>
      </c>
      <c r="AH85" s="775">
        <f t="shared" si="20"/>
        <v>23.263144161111107</v>
      </c>
      <c r="AI85" s="447">
        <f t="shared" si="254"/>
        <v>76.736855838888886</v>
      </c>
      <c r="AJ85" s="173">
        <f t="shared" si="255"/>
        <v>0.76736855838888884</v>
      </c>
      <c r="AK85" s="120" t="b">
        <f t="shared" si="256"/>
        <v>0</v>
      </c>
    </row>
    <row r="86" spans="1:37" ht="14.4">
      <c r="A86" s="182" t="str">
        <f t="shared" si="251"/>
        <v>TZ ZBTISDN15100VVE overstap</v>
      </c>
      <c r="B86" s="120" t="str">
        <f t="shared" si="252"/>
        <v>TZ ZBTISDN15VVE overstap</v>
      </c>
      <c r="C86" s="133" t="s">
        <v>717</v>
      </c>
      <c r="D86" s="133" t="s">
        <v>466</v>
      </c>
      <c r="E86" s="133">
        <v>100</v>
      </c>
      <c r="F86" s="133" t="s">
        <v>4</v>
      </c>
      <c r="G86" s="133" t="s">
        <v>459</v>
      </c>
      <c r="H86" s="133" t="str">
        <f t="shared" ref="H86" si="257">D86&amp;F86</f>
        <v>ISDN15VVA</v>
      </c>
      <c r="I86" s="120" t="str">
        <f t="shared" ref="I86" si="258">D86&amp;G86</f>
        <v>ISDN15VVE overstap</v>
      </c>
      <c r="J86" s="493" t="str">
        <f>IF(D86="","",INDEX(Mapping!$H:$H,MATCH($H86,Mapping!$B:$B,0)))</f>
        <v>ISDN15VVA</v>
      </c>
      <c r="K86" s="494" t="str">
        <f>IF(D86="","",INDEX(Mapping!$H:$H,MATCH($I86,Mapping!$B:$B,0)))</f>
        <v>ISDN15VVE overstap</v>
      </c>
      <c r="L86" s="649">
        <f>MATCH(C86&amp;D86&amp;E86,'Tarieven ZM'!$B:$B,0)</f>
        <v>48</v>
      </c>
      <c r="M86" s="133">
        <f>INDEX('Tarieven ZM'!$F:$F,'Rekenblad Aansluiting'!$L86)</f>
        <v>100</v>
      </c>
      <c r="N86" s="133">
        <f>INDEX('Tarieven ZM'!$G:$H,'Rekenblad Aansluiting'!$L86,MATCH($G86,'Tarieven ZM'!$G$4:$H$4))</f>
        <v>100</v>
      </c>
      <c r="O86" s="136">
        <f>M86+N86/Parameters!$B$9</f>
        <v>102.77777777777777</v>
      </c>
      <c r="P86" s="495">
        <f>IF('Rekenblad Aansluiting'!D86="",0,INDEX('inkoop aansluitingen obv ULL'!E:E,MATCH(K86,'inkoop aansluitingen obv ULL'!B:B,0)))</f>
        <v>18.738178527777777</v>
      </c>
      <c r="Q86" s="142">
        <f>IF('Rekenblad Aansluiting'!D86="",0,INDEX('inkoop aansluitingen obv ULL'!F:F,MATCH(K86,'inkoop aansluitingen obv ULL'!B:B,0)))</f>
        <v>38.58</v>
      </c>
      <c r="R86" s="136">
        <f>P86+Q86/'Parameters ULL'!$E$10</f>
        <v>19.809845194444442</v>
      </c>
      <c r="S86" s="138">
        <f>IF(RIGHT(C86,2)="CM",O86*MAX(Parameters!$B$2:$B$4),O86*Parameters!$B$3)</f>
        <v>10.277777777777779</v>
      </c>
      <c r="T86" s="142">
        <f>IF(RIGHT(C86,2)="CM",0,IF(LEFT(C86,2)="TZ",(('Vergoedingen grondslag'!$F$20+'Vergoedingen grondslag'!$I$20+'Vergoedingen grondslag'!$L$20+'Vergoedingen grondslag'!$O$20)*(M86)+('Vergoedingen grondslag'!$O$20*'Rekenblad Aansluiting'!$N86+'Vergoedingen grondslag'!$R$20+'Vergoedingen grondslag'!$U$20)/Parameters!$B$9),(('Vergoedingen grondslag'!$F$11+'Vergoedingen grondslag'!$I$11+'Vergoedingen grondslag'!$L$11+'Vergoedingen grondslag'!$O$11)*(M86))+('Vergoedingen grondslag'!$O$11*'Rekenblad Aansluiting'!$N86+'Vergoedingen grondslag'!$R$11+'Vergoedingen grondslag'!$U$11+'Vergoedingen grondslag'!$X$11)/36))</f>
        <v>4.0558333333333332</v>
      </c>
      <c r="U86" s="142">
        <f>M86*Parameters!$B$12</f>
        <v>0</v>
      </c>
      <c r="V86" s="136">
        <f t="shared" ref="V86" si="259">SUM(S86:U86)</f>
        <v>14.333611111111111</v>
      </c>
      <c r="W86" s="142">
        <f t="shared" ref="W86" si="260">R86+V86</f>
        <v>34.143456305555553</v>
      </c>
      <c r="X86" s="138">
        <f t="shared" ref="X86" si="261">O86-W86</f>
        <v>68.634321472222211</v>
      </c>
      <c r="Y86" s="145">
        <f t="shared" ref="Y86" si="262">X86/O86</f>
        <v>0.66779339810810801</v>
      </c>
      <c r="Z86" s="120" t="b">
        <f t="shared" ref="Z86" si="263">Y86&lt;0</f>
        <v>0</v>
      </c>
      <c r="AA86" s="331" t="s">
        <v>868</v>
      </c>
      <c r="AB86" s="4">
        <v>1</v>
      </c>
      <c r="AD86" s="445">
        <f>IF(RIGHT(C86,2)="CM",M86*MAX(Parameters!$B$2:$B$4),M86*Parameters!$B$3)</f>
        <v>10</v>
      </c>
      <c r="AE86" s="149">
        <f>IF(RIGHT(C86,2)="CM",0,IF(LEFT(C86,2)="TZ",(('Vergoedingen grondslag'!$F$20+'Vergoedingen grondslag'!$I$20+'Vergoedingen grondslag'!$L$20+'Vergoedingen grondslag'!$O$20)*(M86)+('Vergoedingen grondslag'!$O$20*'Rekenblad Aansluiting'!$N86*0+'Vergoedingen grondslag'!$R$20+'Vergoedingen grondslag'!$U$20)/Parameters!$B$9),(('Vergoedingen grondslag'!$F$11+'Vergoedingen grondslag'!$I$11+'Vergoedingen grondslag'!$L$11+'Vergoedingen grondslag'!$O$11)*(M86))+('Vergoedingen grondslag'!$O$11*'Rekenblad Aansluiting'!$N86*0+'Vergoedingen grondslag'!$R$11+'Vergoedingen grondslag'!$U$11+'Vergoedingen grondslag'!$X$11)/36))</f>
        <v>4.0280555555555555</v>
      </c>
      <c r="AF86" s="652">
        <f>M86*Parameters!$B$12</f>
        <v>0</v>
      </c>
      <c r="AG86" s="774">
        <f t="shared" ref="AG86" si="264">SUM(AD86:AF86)</f>
        <v>14.028055555555556</v>
      </c>
      <c r="AH86" s="775">
        <f t="shared" si="20"/>
        <v>32.76623408333333</v>
      </c>
      <c r="AI86" s="447">
        <f t="shared" ref="AI86" si="265">M86-AH86</f>
        <v>67.23376591666667</v>
      </c>
      <c r="AJ86" s="173">
        <f t="shared" ref="AJ86" si="266">AI86/M86</f>
        <v>0.67233765916666666</v>
      </c>
      <c r="AK86" s="120" t="b">
        <f t="shared" ref="AK86" si="267">AJ86&lt;0</f>
        <v>0</v>
      </c>
    </row>
    <row r="87" spans="1:37" ht="14.4">
      <c r="A87" s="182" t="str">
        <f t="shared" ref="A87" si="268">C87&amp;D87&amp;E87&amp;G87</f>
        <v>TZ ZBTISDN20100VVE overstap</v>
      </c>
      <c r="B87" s="120" t="str">
        <f t="shared" ref="B87" si="269">C87&amp;D87&amp;G87</f>
        <v>TZ ZBTISDN20VVE overstap</v>
      </c>
      <c r="C87" s="133" t="s">
        <v>717</v>
      </c>
      <c r="D87" s="133" t="s">
        <v>468</v>
      </c>
      <c r="E87" s="133">
        <v>100</v>
      </c>
      <c r="F87" s="133" t="s">
        <v>4</v>
      </c>
      <c r="G87" s="133" t="s">
        <v>459</v>
      </c>
      <c r="H87" s="133" t="str">
        <f t="shared" ref="H87:H88" si="270">D87&amp;F87</f>
        <v>ISDN20VVA</v>
      </c>
      <c r="I87" s="120" t="str">
        <f t="shared" ref="I87:I88" si="271">D87&amp;G87</f>
        <v>ISDN20VVE overstap</v>
      </c>
      <c r="J87" s="493" t="str">
        <f>IF(D87="","",INDEX(Mapping!$H:$H,MATCH($H87,Mapping!$B:$B,0)))</f>
        <v>ISDN20VVA</v>
      </c>
      <c r="K87" s="494" t="str">
        <f>IF(D87="","",INDEX(Mapping!$H:$H,MATCH($I87,Mapping!$B:$B,0)))</f>
        <v>ISDN20VVE overstap</v>
      </c>
      <c r="L87" s="649">
        <f>MATCH(C87&amp;D87&amp;E87,'Tarieven ZM'!$B:$B,0)</f>
        <v>49</v>
      </c>
      <c r="M87" s="133">
        <f>INDEX('Tarieven ZM'!$F:$F,'Rekenblad Aansluiting'!$L87)</f>
        <v>100</v>
      </c>
      <c r="N87" s="133">
        <f>INDEX('Tarieven ZM'!$G:$H,'Rekenblad Aansluiting'!$L87,MATCH($G87,'Tarieven ZM'!$G$4:$H$4))</f>
        <v>100</v>
      </c>
      <c r="O87" s="136">
        <f>M87+N87/Parameters!$B$9</f>
        <v>102.77777777777777</v>
      </c>
      <c r="P87" s="495">
        <f>IF('Rekenblad Aansluiting'!D87="",0,INDEX('inkoop aansluitingen obv ULL'!E:E,MATCH(K87,'inkoop aansluitingen obv ULL'!B:B,0)))</f>
        <v>18.738178527777777</v>
      </c>
      <c r="Q87" s="142">
        <f>IF('Rekenblad Aansluiting'!D87="",0,INDEX('inkoop aansluitingen obv ULL'!F:F,MATCH(K87,'inkoop aansluitingen obv ULL'!B:B,0)))</f>
        <v>38.58</v>
      </c>
      <c r="R87" s="136">
        <f>P87+Q87/'Parameters ULL'!$E$10</f>
        <v>19.809845194444442</v>
      </c>
      <c r="S87" s="138">
        <f>IF(RIGHT(C87,2)="CM",O87*MAX(Parameters!$B$2:$B$4),O87*Parameters!$B$3)</f>
        <v>10.277777777777779</v>
      </c>
      <c r="T87" s="142">
        <f>IF(RIGHT(C87,2)="CM",0,IF(LEFT(C87,2)="TZ",(('Vergoedingen grondslag'!$F$20+'Vergoedingen grondslag'!$I$20+'Vergoedingen grondslag'!$L$20+'Vergoedingen grondslag'!$O$20)*(M87)+('Vergoedingen grondslag'!$O$20*'Rekenblad Aansluiting'!$N87+'Vergoedingen grondslag'!$R$20+'Vergoedingen grondslag'!$U$20)/Parameters!$B$9),(('Vergoedingen grondslag'!$F$11+'Vergoedingen grondslag'!$I$11+'Vergoedingen grondslag'!$L$11+'Vergoedingen grondslag'!$O$11)*(M87))+('Vergoedingen grondslag'!$O$11*'Rekenblad Aansluiting'!$N87+'Vergoedingen grondslag'!$R$11+'Vergoedingen grondslag'!$U$11+'Vergoedingen grondslag'!$X$11)/36))</f>
        <v>4.0558333333333332</v>
      </c>
      <c r="U87" s="142">
        <f>M87*Parameters!$B$12</f>
        <v>0</v>
      </c>
      <c r="V87" s="136">
        <f t="shared" ref="V87:V88" si="272">SUM(S87:U87)</f>
        <v>14.333611111111111</v>
      </c>
      <c r="W87" s="142">
        <f t="shared" ref="W87:W88" si="273">R87+V87</f>
        <v>34.143456305555553</v>
      </c>
      <c r="X87" s="138">
        <f t="shared" ref="X87:X88" si="274">O87-W87</f>
        <v>68.634321472222211</v>
      </c>
      <c r="Y87" s="145">
        <f t="shared" ref="Y87:Y88" si="275">X87/O87</f>
        <v>0.66779339810810801</v>
      </c>
      <c r="Z87" s="120" t="b">
        <f t="shared" ref="Z87:Z88" si="276">Y87&lt;0</f>
        <v>0</v>
      </c>
      <c r="AA87" s="331" t="s">
        <v>868</v>
      </c>
      <c r="AB87" s="4">
        <v>1</v>
      </c>
      <c r="AD87" s="445">
        <f>IF(RIGHT(C87,2)="CM",M87*MAX(Parameters!$B$2:$B$4),M87*Parameters!$B$3)</f>
        <v>10</v>
      </c>
      <c r="AE87" s="149">
        <f>IF(RIGHT(C87,2)="CM",0,IF(LEFT(C87,2)="TZ",(('Vergoedingen grondslag'!$F$20+'Vergoedingen grondslag'!$I$20+'Vergoedingen grondslag'!$L$20+'Vergoedingen grondslag'!$O$20)*(M87)+('Vergoedingen grondslag'!$O$20*'Rekenblad Aansluiting'!$N87*0+'Vergoedingen grondslag'!$R$20+'Vergoedingen grondslag'!$U$20)/Parameters!$B$9),(('Vergoedingen grondslag'!$F$11+'Vergoedingen grondslag'!$I$11+'Vergoedingen grondslag'!$L$11+'Vergoedingen grondslag'!$O$11)*(M87))+('Vergoedingen grondslag'!$O$11*'Rekenblad Aansluiting'!$N87*0+'Vergoedingen grondslag'!$R$11+'Vergoedingen grondslag'!$U$11+'Vergoedingen grondslag'!$X$11)/36))</f>
        <v>4.0280555555555555</v>
      </c>
      <c r="AF87" s="652">
        <f>M87*Parameters!$B$12</f>
        <v>0</v>
      </c>
      <c r="AG87" s="774">
        <f t="shared" ref="AG87" si="277">SUM(AD87:AF87)</f>
        <v>14.028055555555556</v>
      </c>
      <c r="AH87" s="775">
        <f t="shared" ref="AH87:AH89" si="278">AG87+P87</f>
        <v>32.76623408333333</v>
      </c>
      <c r="AI87" s="447">
        <f t="shared" ref="AI87" si="279">M87-AH87</f>
        <v>67.23376591666667</v>
      </c>
      <c r="AJ87" s="173">
        <f t="shared" ref="AJ87" si="280">AI87/M87</f>
        <v>0.67233765916666666</v>
      </c>
      <c r="AK87" s="120" t="b">
        <f t="shared" ref="AK87" si="281">AJ87&lt;0</f>
        <v>0</v>
      </c>
    </row>
    <row r="88" spans="1:37" ht="14.4">
      <c r="A88" s="182" t="str">
        <f t="shared" ref="A88" si="282">C88&amp;D88&amp;E88&amp;G88</f>
        <v>TZ ZBTISDN30 eerste aansluiting100VVE overstap</v>
      </c>
      <c r="B88" s="120" t="str">
        <f t="shared" ref="B88" si="283">C88&amp;D88&amp;G88</f>
        <v>TZ ZBTISDN30 eerste aansluitingVVE overstap</v>
      </c>
      <c r="C88" s="133" t="s">
        <v>717</v>
      </c>
      <c r="D88" s="133" t="s">
        <v>869</v>
      </c>
      <c r="E88" s="133">
        <v>100</v>
      </c>
      <c r="F88" s="133" t="s">
        <v>4</v>
      </c>
      <c r="G88" s="133" t="s">
        <v>459</v>
      </c>
      <c r="H88" s="133" t="str">
        <f t="shared" si="270"/>
        <v>ISDN30 eerste aansluitingVVA</v>
      </c>
      <c r="I88" s="120" t="str">
        <f t="shared" si="271"/>
        <v>ISDN30 eerste aansluitingVVE overstap</v>
      </c>
      <c r="J88" s="493" t="str">
        <f>IF(D88="","",INDEX(Mapping!$H:$H,MATCH($H88,Mapping!$B:$B,0)))</f>
        <v>ISDN30 eerste aansluitingVVA</v>
      </c>
      <c r="K88" s="494" t="str">
        <f>IF(D88="","",INDEX(Mapping!$H:$H,MATCH($I88,Mapping!$B:$B,0)))</f>
        <v>ISDN30 eerste aansluitingVVE overstap</v>
      </c>
      <c r="L88" s="649">
        <f>MATCH(C88&amp;D88&amp;E88,'Tarieven ZM'!$B:$B,0)</f>
        <v>50</v>
      </c>
      <c r="M88" s="133">
        <f>INDEX('Tarieven ZM'!$F:$F,'Rekenblad Aansluiting'!$L88)</f>
        <v>100</v>
      </c>
      <c r="N88" s="133">
        <f>INDEX('Tarieven ZM'!$G:$H,'Rekenblad Aansluiting'!$L88,MATCH($G88,'Tarieven ZM'!$G$4:$H$4))</f>
        <v>100</v>
      </c>
      <c r="O88" s="136">
        <f>M88+N88/Parameters!$B$9</f>
        <v>102.77777777777777</v>
      </c>
      <c r="P88" s="495">
        <f>IF('Rekenblad Aansluiting'!D88="",0,INDEX('inkoop aansluitingen obv ULL'!E:E,MATCH(K88,'inkoop aansluitingen obv ULL'!B:B,0)))</f>
        <v>18.738178527777777</v>
      </c>
      <c r="Q88" s="142">
        <f>IF('Rekenblad Aansluiting'!D88="",0,INDEX('inkoop aansluitingen obv ULL'!F:F,MATCH(K88,'inkoop aansluitingen obv ULL'!B:B,0)))</f>
        <v>38.58</v>
      </c>
      <c r="R88" s="136">
        <f>P88+Q88/'Parameters ULL'!$E$10</f>
        <v>19.809845194444442</v>
      </c>
      <c r="S88" s="138">
        <f>IF(RIGHT(C88,2)="CM",O88*MAX(Parameters!$B$2:$B$4),O88*Parameters!$B$3)</f>
        <v>10.277777777777779</v>
      </c>
      <c r="T88" s="142">
        <f>IF(RIGHT(C88,2)="CM",0,IF(LEFT(C88,2)="TZ",(('Vergoedingen grondslag'!$F$20+'Vergoedingen grondslag'!$I$20+'Vergoedingen grondslag'!$L$20+'Vergoedingen grondslag'!$O$20)*(M88)+('Vergoedingen grondslag'!$O$20*'Rekenblad Aansluiting'!$N88+'Vergoedingen grondslag'!$R$20+'Vergoedingen grondslag'!$U$20)/Parameters!$B$9),(('Vergoedingen grondslag'!$F$11+'Vergoedingen grondslag'!$I$11+'Vergoedingen grondslag'!$L$11+'Vergoedingen grondslag'!$O$11)*(M88))+('Vergoedingen grondslag'!$O$11*'Rekenblad Aansluiting'!$N88+'Vergoedingen grondslag'!$R$11+'Vergoedingen grondslag'!$U$11+'Vergoedingen grondslag'!$X$11)/36))</f>
        <v>4.0558333333333332</v>
      </c>
      <c r="U88" s="142">
        <f>M88*Parameters!$B$12</f>
        <v>0</v>
      </c>
      <c r="V88" s="136">
        <f t="shared" si="272"/>
        <v>14.333611111111111</v>
      </c>
      <c r="W88" s="142">
        <f t="shared" si="273"/>
        <v>34.143456305555553</v>
      </c>
      <c r="X88" s="138">
        <f t="shared" si="274"/>
        <v>68.634321472222211</v>
      </c>
      <c r="Y88" s="145">
        <f t="shared" si="275"/>
        <v>0.66779339810810801</v>
      </c>
      <c r="Z88" s="120" t="b">
        <f t="shared" si="276"/>
        <v>0</v>
      </c>
      <c r="AA88" s="331" t="s">
        <v>868</v>
      </c>
      <c r="AB88" s="4">
        <v>1</v>
      </c>
      <c r="AD88" s="445">
        <f>IF(RIGHT(C88,2)="CM",M88*MAX(Parameters!$B$2:$B$4),M88*Parameters!$B$3)</f>
        <v>10</v>
      </c>
      <c r="AE88" s="149">
        <f>IF(RIGHT(C88,2)="CM",0,IF(LEFT(C88,2)="TZ",(('Vergoedingen grondslag'!$F$20+'Vergoedingen grondslag'!$I$20+'Vergoedingen grondslag'!$L$20+'Vergoedingen grondslag'!$O$20)*(M88)+('Vergoedingen grondslag'!$O$20*'Rekenblad Aansluiting'!$N88*0+'Vergoedingen grondslag'!$R$20+'Vergoedingen grondslag'!$U$20)/Parameters!$B$9),(('Vergoedingen grondslag'!$F$11+'Vergoedingen grondslag'!$I$11+'Vergoedingen grondslag'!$L$11+'Vergoedingen grondslag'!$O$11)*(M88))+('Vergoedingen grondslag'!$O$11*'Rekenblad Aansluiting'!$N88*0+'Vergoedingen grondslag'!$R$11+'Vergoedingen grondslag'!$U$11+'Vergoedingen grondslag'!$X$11)/36))</f>
        <v>4.0280555555555555</v>
      </c>
      <c r="AF88" s="652">
        <f>M88*Parameters!$B$12</f>
        <v>0</v>
      </c>
      <c r="AG88" s="774">
        <f t="shared" ref="AG88" si="284">SUM(AD88:AF88)</f>
        <v>14.028055555555556</v>
      </c>
      <c r="AH88" s="775">
        <f t="shared" si="278"/>
        <v>32.76623408333333</v>
      </c>
      <c r="AI88" s="447">
        <f t="shared" ref="AI88" si="285">M88-AH88</f>
        <v>67.23376591666667</v>
      </c>
      <c r="AJ88" s="173">
        <f t="shared" ref="AJ88" si="286">AI88/M88</f>
        <v>0.67233765916666666</v>
      </c>
      <c r="AK88" s="120" t="b">
        <f t="shared" ref="AK88" si="287">AJ88&lt;0</f>
        <v>0</v>
      </c>
    </row>
    <row r="89" spans="1:37" ht="14.4">
      <c r="A89" s="182" t="str">
        <f t="shared" ref="A89" si="288">C89&amp;D89&amp;E89&amp;G89</f>
        <v>TZ ZBTCityphone100VVE overstap</v>
      </c>
      <c r="B89" s="120" t="str">
        <f t="shared" ref="B89" si="289">C89&amp;D89&amp;G89</f>
        <v>TZ ZBTCityphoneVVE overstap</v>
      </c>
      <c r="C89" s="133" t="s">
        <v>717</v>
      </c>
      <c r="D89" s="133" t="s">
        <v>520</v>
      </c>
      <c r="E89" s="133">
        <v>100</v>
      </c>
      <c r="F89" s="133" t="s">
        <v>4</v>
      </c>
      <c r="G89" s="133" t="s">
        <v>459</v>
      </c>
      <c r="H89" s="133" t="str">
        <f t="shared" ref="H89" si="290">D89&amp;F89</f>
        <v>CityphoneVVA</v>
      </c>
      <c r="I89" s="120" t="str">
        <f t="shared" ref="I89" si="291">D89&amp;G89</f>
        <v>CityphoneVVE overstap</v>
      </c>
      <c r="J89" s="493" t="str">
        <f>IF(D89="","",INDEX(Mapping!$H:$H,MATCH($H89,Mapping!$B:$B,0)))</f>
        <v>CityPhoneVVA</v>
      </c>
      <c r="K89" s="494" t="str">
        <f>IF(D89="","",INDEX(Mapping!$H:$H,MATCH($I89,Mapping!$B:$B,0)))</f>
        <v>CityPhoneVVE overstap</v>
      </c>
      <c r="L89" s="649">
        <f>MATCH(C89&amp;D89&amp;E89,'Tarieven ZM'!$B:$B,0)</f>
        <v>51</v>
      </c>
      <c r="M89" s="133">
        <f>INDEX('Tarieven ZM'!$F:$F,'Rekenblad Aansluiting'!$L89)</f>
        <v>100</v>
      </c>
      <c r="N89" s="133">
        <f>INDEX('Tarieven ZM'!$G:$H,'Rekenblad Aansluiting'!$L89,MATCH($G89,'Tarieven ZM'!$G$4:$H$4))</f>
        <v>100</v>
      </c>
      <c r="O89" s="136">
        <f>M89+N89/Parameters!$B$9</f>
        <v>102.77777777777777</v>
      </c>
      <c r="P89" s="495">
        <f>IF('Rekenblad Aansluiting'!D89="",0,INDEX('inkoop aansluitingen obv ULL'!E:E,MATCH(K89,'inkoop aansluitingen obv ULL'!B:B,0)))</f>
        <v>0.42000000000000004</v>
      </c>
      <c r="Q89" s="142">
        <f>IF('Rekenblad Aansluiting'!D89="",0,INDEX('inkoop aansluitingen obv ULL'!F:F,MATCH(K89,'inkoop aansluitingen obv ULL'!B:B,0)))</f>
        <v>3.6</v>
      </c>
      <c r="R89" s="136">
        <f>P89+Q89/'Parameters ULL'!$E$10</f>
        <v>0.52</v>
      </c>
      <c r="S89" s="138">
        <f>IF(RIGHT(C89,2)="CM",O89*MAX(Parameters!$B$2:$B$4),O89*Parameters!$B$3)</f>
        <v>10.277777777777779</v>
      </c>
      <c r="T89" s="142">
        <f>IF(RIGHT(C89,2)="CM",0,IF(LEFT(C89,2)="TZ",(('Vergoedingen grondslag'!$F$20+'Vergoedingen grondslag'!$I$20+'Vergoedingen grondslag'!$L$20+'Vergoedingen grondslag'!$O$20)*(M89)+('Vergoedingen grondslag'!$O$20*'Rekenblad Aansluiting'!$N89+'Vergoedingen grondslag'!$R$20+'Vergoedingen grondslag'!$U$20)/Parameters!$B$9),(('Vergoedingen grondslag'!$F$11+'Vergoedingen grondslag'!$I$11+'Vergoedingen grondslag'!$L$11+'Vergoedingen grondslag'!$O$11)*(M89))+('Vergoedingen grondslag'!$O$11*'Rekenblad Aansluiting'!$N89+'Vergoedingen grondslag'!$R$11+'Vergoedingen grondslag'!$U$11+'Vergoedingen grondslag'!$X$11)/36))</f>
        <v>4.0558333333333332</v>
      </c>
      <c r="U89" s="142">
        <f>M89*Parameters!$B$12</f>
        <v>0</v>
      </c>
      <c r="V89" s="136">
        <f t="shared" ref="V89" si="292">SUM(S89:U89)</f>
        <v>14.333611111111111</v>
      </c>
      <c r="W89" s="142">
        <f t="shared" ref="W89" si="293">R89+V89</f>
        <v>14.85361111111111</v>
      </c>
      <c r="X89" s="138">
        <f t="shared" ref="X89" si="294">O89-W89</f>
        <v>87.924166666666665</v>
      </c>
      <c r="Y89" s="145">
        <f t="shared" ref="Y89" si="295">X89/O89</f>
        <v>0.85547837837837837</v>
      </c>
      <c r="Z89" s="120" t="b">
        <f t="shared" ref="Z89" si="296">Y89&lt;0</f>
        <v>0</v>
      </c>
      <c r="AA89" s="331" t="s">
        <v>868</v>
      </c>
      <c r="AB89" s="4">
        <v>1</v>
      </c>
      <c r="AD89" s="445">
        <f>IF(RIGHT(C89,2)="CM",M89*MAX(Parameters!$B$2:$B$4),M89*Parameters!$B$3)</f>
        <v>10</v>
      </c>
      <c r="AE89" s="149">
        <f>IF(RIGHT(C89,2)="CM",0,IF(LEFT(C89,2)="TZ",(('Vergoedingen grondslag'!$F$20+'Vergoedingen grondslag'!$I$20+'Vergoedingen grondslag'!$L$20+'Vergoedingen grondslag'!$O$20)*(M89)+('Vergoedingen grondslag'!$O$20*'Rekenblad Aansluiting'!$N89*0+'Vergoedingen grondslag'!$R$20+'Vergoedingen grondslag'!$U$20)/Parameters!$B$9),(('Vergoedingen grondslag'!$F$11+'Vergoedingen grondslag'!$I$11+'Vergoedingen grondslag'!$L$11+'Vergoedingen grondslag'!$O$11)*(M89))+('Vergoedingen grondslag'!$O$11*'Rekenblad Aansluiting'!$N89*0+'Vergoedingen grondslag'!$R$11+'Vergoedingen grondslag'!$U$11+'Vergoedingen grondslag'!$X$11)/36))</f>
        <v>4.0280555555555555</v>
      </c>
      <c r="AF89" s="652">
        <f>M89*Parameters!$B$12</f>
        <v>0</v>
      </c>
      <c r="AG89" s="774">
        <f t="shared" ref="AG89" si="297">SUM(AD89:AF89)</f>
        <v>14.028055555555556</v>
      </c>
      <c r="AH89" s="775">
        <f t="shared" si="278"/>
        <v>14.448055555555555</v>
      </c>
      <c r="AI89" s="447">
        <f t="shared" ref="AI89" si="298">M89-AH89</f>
        <v>85.551944444444445</v>
      </c>
      <c r="AJ89" s="173">
        <f t="shared" ref="AJ89" si="299">AI89/M89</f>
        <v>0.8555194444444445</v>
      </c>
      <c r="AK89" s="120" t="b">
        <f t="shared" ref="AK89" si="300">AJ89&lt;0</f>
        <v>0</v>
      </c>
    </row>
  </sheetData>
  <autoFilter ref="A3:AB89"/>
  <mergeCells count="6">
    <mergeCell ref="C2:I2"/>
    <mergeCell ref="J2:K2"/>
    <mergeCell ref="L2:O2"/>
    <mergeCell ref="P2:R2"/>
    <mergeCell ref="X1:Z1"/>
    <mergeCell ref="S2:V2"/>
  </mergeCells>
  <conditionalFormatting sqref="AA28:AA60">
    <cfRule type="containsText" dxfId="27" priority="19" operator="containsText" text="nee">
      <formula>NOT(ISERROR(SEARCH("nee",AA28)))</formula>
    </cfRule>
    <cfRule type="containsText" dxfId="26" priority="20" operator="containsText" text="ja">
      <formula>NOT(ISERROR(SEARCH("ja",AA28)))</formula>
    </cfRule>
  </conditionalFormatting>
  <conditionalFormatting sqref="AA22:AA27">
    <cfRule type="containsText" dxfId="25" priority="15" operator="containsText" text="nee">
      <formula>NOT(ISERROR(SEARCH("nee",AA22)))</formula>
    </cfRule>
    <cfRule type="containsText" dxfId="24" priority="16" operator="containsText" text="ja">
      <formula>NOT(ISERROR(SEARCH("ja",AA22)))</formula>
    </cfRule>
  </conditionalFormatting>
  <conditionalFormatting sqref="AA61:AA89">
    <cfRule type="containsText" dxfId="23" priority="5" operator="containsText" text="nee">
      <formula>NOT(ISERROR(SEARCH("nee",AA61)))</formula>
    </cfRule>
    <cfRule type="containsText" dxfId="22" priority="6" operator="containsText" text="ja">
      <formula>NOT(ISERROR(SEARCH("ja",AA61)))</formula>
    </cfRule>
  </conditionalFormatting>
  <conditionalFormatting sqref="AA4:AA21">
    <cfRule type="containsText" dxfId="21" priority="1" operator="containsText" text="nee">
      <formula>NOT(ISERROR(SEARCH("nee",AA4)))</formula>
    </cfRule>
    <cfRule type="containsText" dxfId="20" priority="2" operator="containsText" text="ja">
      <formula>NOT(ISERROR(SEARCH("ja",AA4)))</formula>
    </cfRule>
  </conditionalFormatting>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4"/>
  <dimension ref="A1:AV42"/>
  <sheetViews>
    <sheetView workbookViewId="0">
      <pane xSplit="11640" topLeftCell="I1"/>
      <selection activeCell="A6" sqref="A6"/>
      <selection pane="topRight" activeCell="J5" sqref="J5"/>
    </sheetView>
  </sheetViews>
  <sheetFormatPr defaultColWidth="10.5546875" defaultRowHeight="12"/>
  <cols>
    <col min="1" max="1" width="40.109375" style="4" bestFit="1" customWidth="1"/>
    <col min="2" max="2" width="10.5546875" style="4"/>
    <col min="3" max="3" width="26.44140625" style="4" bestFit="1" customWidth="1"/>
    <col min="4" max="4" width="21.6640625" style="4" bestFit="1" customWidth="1"/>
    <col min="5" max="5" width="11.109375" style="4" customWidth="1"/>
    <col min="6" max="7" width="10.5546875" style="4"/>
    <col min="8" max="8" width="23.6640625" style="4" customWidth="1"/>
    <col min="9" max="9" width="24.5546875" style="4" customWidth="1"/>
    <col min="10" max="10" width="9.109375" style="4" bestFit="1" customWidth="1"/>
    <col min="11" max="11" width="12" style="4" bestFit="1" customWidth="1"/>
    <col min="12" max="12" width="10.5546875" style="4"/>
    <col min="13" max="13" width="12.109375" style="4" customWidth="1"/>
    <col min="14" max="14" width="10.5546875" style="4"/>
    <col min="15" max="15" width="12" style="4" customWidth="1"/>
    <col min="16" max="32" width="10.5546875" style="4"/>
    <col min="33" max="33" width="15.6640625" style="4" bestFit="1" customWidth="1"/>
    <col min="34" max="37" width="10.5546875" style="4"/>
    <col min="38" max="38" width="15.6640625" style="4" bestFit="1" customWidth="1"/>
    <col min="39" max="39" width="10.5546875" style="4"/>
    <col min="40" max="40" width="12.5546875" style="4" bestFit="1" customWidth="1"/>
    <col min="41" max="41" width="10.5546875" style="4"/>
    <col min="42" max="42" width="14.33203125" style="4" bestFit="1" customWidth="1"/>
    <col min="43" max="43" width="15.88671875" style="4" bestFit="1" customWidth="1"/>
    <col min="44" max="46" width="10.5546875" style="4"/>
    <col min="47" max="47" width="9.109375" style="4" bestFit="1" customWidth="1"/>
    <col min="48" max="48" width="5.44140625" style="4" bestFit="1" customWidth="1"/>
    <col min="49" max="16384" width="10.5546875" style="4"/>
  </cols>
  <sheetData>
    <row r="1" spans="1:48" ht="14.4">
      <c r="T1" s="1078" t="s">
        <v>499</v>
      </c>
      <c r="U1" s="1079"/>
      <c r="V1" s="1079"/>
      <c r="W1" s="1079"/>
      <c r="X1" s="1079"/>
      <c r="Y1" s="1079"/>
      <c r="Z1" s="1079"/>
      <c r="AA1" s="1079"/>
      <c r="AB1" s="1079"/>
      <c r="AC1" s="1079"/>
      <c r="AD1" s="1079"/>
      <c r="AE1" s="1079"/>
      <c r="AF1" s="1079"/>
      <c r="AG1" s="1080"/>
      <c r="AH1" s="1068" t="s">
        <v>478</v>
      </c>
      <c r="AI1" s="1069"/>
      <c r="AJ1" s="1069"/>
      <c r="AK1" s="1069"/>
      <c r="AL1" s="1070"/>
      <c r="AM1" s="1065" t="s">
        <v>511</v>
      </c>
      <c r="AN1" s="1066"/>
      <c r="AO1" s="1066"/>
      <c r="AP1" s="1067"/>
      <c r="AQ1" s="176" t="s">
        <v>509</v>
      </c>
      <c r="AR1" s="1062" t="s">
        <v>481</v>
      </c>
      <c r="AS1" s="1063"/>
      <c r="AT1" s="1064"/>
    </row>
    <row r="2" spans="1:48" ht="14.4">
      <c r="C2" s="1071" t="s">
        <v>438</v>
      </c>
      <c r="D2" s="1072"/>
      <c r="E2" s="1072"/>
      <c r="F2" s="1072"/>
      <c r="G2" s="1072"/>
      <c r="H2" s="1072"/>
      <c r="I2" s="159"/>
      <c r="J2" s="1054" t="s">
        <v>496</v>
      </c>
      <c r="K2" s="1073"/>
      <c r="L2" s="1073"/>
      <c r="M2" s="1073"/>
      <c r="N2" s="1073"/>
      <c r="O2" s="1073"/>
      <c r="P2" s="1073"/>
      <c r="Q2" s="1073"/>
      <c r="R2" s="1073"/>
      <c r="S2" s="1074"/>
      <c r="T2" s="1075" t="s">
        <v>500</v>
      </c>
      <c r="U2" s="1076"/>
      <c r="V2" s="1076"/>
      <c r="W2" s="1076"/>
      <c r="X2" s="1077"/>
      <c r="Y2" s="1075" t="s">
        <v>501</v>
      </c>
      <c r="Z2" s="1076"/>
      <c r="AA2" s="1076"/>
      <c r="AB2" s="1077"/>
      <c r="AC2" s="1053" t="s">
        <v>502</v>
      </c>
      <c r="AD2" s="1073"/>
      <c r="AE2" s="1073"/>
      <c r="AF2" s="1073"/>
      <c r="AG2" s="1081"/>
      <c r="AH2" s="1068"/>
      <c r="AI2" s="1069"/>
      <c r="AJ2" s="1069"/>
      <c r="AK2" s="1069"/>
      <c r="AL2" s="1070"/>
      <c r="AM2" s="1065"/>
      <c r="AN2" s="1066"/>
      <c r="AO2" s="1066"/>
      <c r="AP2" s="1067"/>
      <c r="AQ2" s="175"/>
      <c r="AR2" s="121"/>
      <c r="AS2" s="122"/>
      <c r="AT2" s="123"/>
    </row>
    <row r="3" spans="1:48" ht="48">
      <c r="A3" s="150" t="s">
        <v>435</v>
      </c>
      <c r="B3" s="116" t="s">
        <v>436</v>
      </c>
      <c r="C3" s="171" t="s">
        <v>7</v>
      </c>
      <c r="D3" s="169" t="s">
        <v>467</v>
      </c>
      <c r="E3" s="169" t="s">
        <v>517</v>
      </c>
      <c r="F3" s="169" t="s">
        <v>516</v>
      </c>
      <c r="G3" s="169" t="s">
        <v>669</v>
      </c>
      <c r="H3" s="169" t="s">
        <v>518</v>
      </c>
      <c r="I3" s="170" t="s">
        <v>519</v>
      </c>
      <c r="J3" s="115" t="s">
        <v>397</v>
      </c>
      <c r="K3" s="115" t="s">
        <v>398</v>
      </c>
      <c r="L3" s="115" t="s">
        <v>399</v>
      </c>
      <c r="M3" s="115" t="s">
        <v>506</v>
      </c>
      <c r="N3" s="115" t="s">
        <v>400</v>
      </c>
      <c r="O3" s="115" t="s">
        <v>401</v>
      </c>
      <c r="P3" s="115" t="s">
        <v>402</v>
      </c>
      <c r="Q3" s="115" t="s">
        <v>403</v>
      </c>
      <c r="R3" s="115" t="s">
        <v>404</v>
      </c>
      <c r="S3" s="116" t="s">
        <v>405</v>
      </c>
      <c r="T3" s="154" t="s">
        <v>11</v>
      </c>
      <c r="U3" s="155" t="s">
        <v>15</v>
      </c>
      <c r="V3" s="155" t="s">
        <v>16</v>
      </c>
      <c r="W3" s="155" t="s">
        <v>17</v>
      </c>
      <c r="X3" s="158" t="s">
        <v>507</v>
      </c>
      <c r="Y3" s="130" t="s">
        <v>11</v>
      </c>
      <c r="Z3" s="134" t="s">
        <v>15</v>
      </c>
      <c r="AA3" s="134" t="s">
        <v>16</v>
      </c>
      <c r="AB3" s="131" t="s">
        <v>17</v>
      </c>
      <c r="AC3" s="134" t="s">
        <v>11</v>
      </c>
      <c r="AD3" s="134" t="s">
        <v>15</v>
      </c>
      <c r="AE3" s="134" t="s">
        <v>16</v>
      </c>
      <c r="AF3" s="134" t="s">
        <v>17</v>
      </c>
      <c r="AG3" s="131" t="s">
        <v>503</v>
      </c>
      <c r="AH3" s="160" t="s">
        <v>11</v>
      </c>
      <c r="AI3" s="160" t="s">
        <v>15</v>
      </c>
      <c r="AJ3" s="160" t="s">
        <v>16</v>
      </c>
      <c r="AK3" s="160" t="s">
        <v>17</v>
      </c>
      <c r="AL3" s="161" t="s">
        <v>510</v>
      </c>
      <c r="AM3" s="162" t="s">
        <v>1136</v>
      </c>
      <c r="AN3" s="163" t="s">
        <v>512</v>
      </c>
      <c r="AO3" s="163" t="s">
        <v>513</v>
      </c>
      <c r="AP3" s="164" t="s">
        <v>514</v>
      </c>
      <c r="AQ3" s="177" t="s">
        <v>515</v>
      </c>
      <c r="AR3" s="124" t="s">
        <v>482</v>
      </c>
      <c r="AS3" s="125" t="s">
        <v>483</v>
      </c>
      <c r="AT3" s="126" t="s">
        <v>484</v>
      </c>
      <c r="AU3" s="330" t="s">
        <v>867</v>
      </c>
      <c r="AV3" s="246" t="s">
        <v>617</v>
      </c>
    </row>
    <row r="4" spans="1:48" s="96" customFormat="1" ht="14.25" customHeight="1">
      <c r="A4" s="869" t="str">
        <f t="shared" ref="A4:A7" si="0">C4&amp;D4&amp;E4&amp;F4&amp;G4</f>
        <v>KPN BelBasis CMPSTN</v>
      </c>
      <c r="B4" s="494"/>
      <c r="C4" s="493" t="s">
        <v>1134</v>
      </c>
      <c r="D4" s="178" t="s">
        <v>463</v>
      </c>
      <c r="E4" s="178"/>
      <c r="F4" s="178"/>
      <c r="G4" s="178"/>
      <c r="H4" s="178" t="str">
        <f t="shared" ref="H4:H7" si="1">C4&amp;D4&amp;E4&amp;F4</f>
        <v>KPN BelBasis CMPSTN</v>
      </c>
      <c r="I4" s="494" t="str">
        <f t="shared" ref="I4:I7" si="2">C4&amp;E4&amp;G4</f>
        <v>KPN BelBasis CM</v>
      </c>
      <c r="J4" s="870">
        <f>INDEX(Verkeersprofielen!$B:$B,MATCH($H4,Verkeersprofielen!$A:$A,0))</f>
        <v>100</v>
      </c>
      <c r="K4" s="870">
        <f>INDEX(Verkeersprofielen!$C:$C,MATCH($H4,Verkeersprofielen!$A:$A,0))</f>
        <v>100</v>
      </c>
      <c r="L4" s="870">
        <f>INDEX(Verkeersprofielen!$D:$D,MATCH($H4,Verkeersprofielen!$A:$A,0))</f>
        <v>100</v>
      </c>
      <c r="M4" s="870">
        <f>INDEX(Verkeersprofielen!$E:$E,MATCH($H4,Verkeersprofielen!$A:$A,0))</f>
        <v>100</v>
      </c>
      <c r="N4" s="870">
        <f>INDEX(Verkeersprofielen!$F:$F,MATCH($H4,Verkeersprofielen!$A:$A,0))</f>
        <v>100</v>
      </c>
      <c r="O4" s="870">
        <f>INDEX(Verkeersprofielen!$G:$G,MATCH($H4,Verkeersprofielen!$A:$A,0))</f>
        <v>100</v>
      </c>
      <c r="P4" s="870">
        <f>INDEX(Verkeersprofielen!$H:$H,MATCH($H4,Verkeersprofielen!$A:$A,0))</f>
        <v>100</v>
      </c>
      <c r="Q4" s="870">
        <f>INDEX(Verkeersprofielen!$I:$I,MATCH($H4,Verkeersprofielen!$A:$A,0))</f>
        <v>100</v>
      </c>
      <c r="R4" s="870">
        <f>INDEX(Verkeersprofielen!$J:$J,MATCH($H4,Verkeersprofielen!$A:$A,0))</f>
        <v>0</v>
      </c>
      <c r="S4" s="871">
        <f>INDEX(Verkeersprofielen!$K:$K,MATCH($H4,Verkeersprofielen!$A:$A,0))</f>
        <v>0</v>
      </c>
      <c r="T4" s="872">
        <f>INDEX('Tarieven ZM'!$G:$G,MATCH($C4&amp;T$3,'Tarieven ZM'!$B:$B,0))*J4+K4*INDEX('Tarieven ZM'!$H:$H,MATCH($C4&amp;T$3,'Tarieven ZM'!$B:$B,0))</f>
        <v>10</v>
      </c>
      <c r="U4" s="873">
        <f>INDEX('Tarieven ZM'!$G:$G,MATCH($C4&amp;U$3,'Tarieven ZM'!$B:$B,0))*L4+M4*INDEX('Tarieven ZM'!$H:$H,MATCH($C4&amp;U$3,'Tarieven ZM'!$B:$B,0))</f>
        <v>10</v>
      </c>
      <c r="V4" s="873">
        <f>INDEX('Tarieven ZM'!$G:$G,MATCH($C4&amp;V$3,'Tarieven ZM'!$B:$B,0))*(N4+R4)+(O4+S4)*INDEX('Tarieven ZM'!$H:$H,MATCH($C4&amp;V$3,'Tarieven ZM'!$B:$B,0))</f>
        <v>10</v>
      </c>
      <c r="W4" s="873">
        <f>INDEX('Tarieven ZM'!$G:$G,MATCH($C4&amp;W$3,'Tarieven ZM'!$B:$B,0))*P4+Q4*INDEX('Tarieven ZM'!$H:$H,MATCH($C4&amp;W$3,'Tarieven ZM'!$B:$B,0))</f>
        <v>10</v>
      </c>
      <c r="X4" s="874">
        <f t="shared" ref="X4:X7" si="3">SUM(T4:W4)</f>
        <v>40</v>
      </c>
      <c r="Y4" s="875">
        <f>IF(ISNA(INDEX(Kortingsstaffels!$F:$F,MATCH($I4,Kortingsstaffels!$B:$B,0))),0,INDEX(Kortingsstaffels!$F:$F,MATCH($I4,Kortingsstaffels!$B:$B,0)))</f>
        <v>0</v>
      </c>
      <c r="Z4" s="876">
        <f>IF(ISNA(INDEX(Kortingsstaffels!$G:$G,MATCH($I4,Kortingsstaffels!$B:$B,0))),0,INDEX(Kortingsstaffels!$G:$G,MATCH($I4,Kortingsstaffels!$B:$B,0)))</f>
        <v>0</v>
      </c>
      <c r="AA4" s="876">
        <f>IF(ISNA(INDEX(Kortingsstaffels!$H:$H,MATCH($I4,Kortingsstaffels!$B:$B,0))),0,INDEX(Kortingsstaffels!$H:$H,MATCH($I4,Kortingsstaffels!$B:$B,0)))</f>
        <v>0</v>
      </c>
      <c r="AB4" s="877">
        <f>IF(ISNA(INDEX(Kortingsstaffels!$I:$I,MATCH($I4,Kortingsstaffels!$B:$B,0))),0,INDEX(Kortingsstaffels!$I:$I,MATCH($I4,Kortingsstaffels!$B:$B,0)))</f>
        <v>0</v>
      </c>
      <c r="AC4" s="878">
        <f t="shared" ref="AC4:AC7" si="4">T4*(1-Y4)</f>
        <v>10</v>
      </c>
      <c r="AD4" s="495">
        <f t="shared" ref="AD4:AD7" si="5">U4*(1-Z4)</f>
        <v>10</v>
      </c>
      <c r="AE4" s="495">
        <f t="shared" ref="AE4:AE7" si="6">V4*(1-AA4)</f>
        <v>10</v>
      </c>
      <c r="AF4" s="495">
        <f t="shared" ref="AF4:AF7" si="7">W4*(1-AB4)</f>
        <v>10</v>
      </c>
      <c r="AG4" s="879">
        <f t="shared" ref="AG4:AG7" si="8">SUM(AC4:AF4)</f>
        <v>40</v>
      </c>
      <c r="AH4" s="880">
        <f>INDEX('Hulpblad inkooptarieven'!$D:$D,MATCH('Rekenblad Verkeer'!$AH$3,'Hulpblad inkooptarieven'!$A:$A,0))*K4</f>
        <v>2.302</v>
      </c>
      <c r="AI4" s="495">
        <f>INDEX('Hulpblad inkooptarieven'!D:D,MATCH('Rekenblad Verkeer'!$AI$3,'Hulpblad inkooptarieven'!$A:$A,0))*M4</f>
        <v>2.4020000000000001</v>
      </c>
      <c r="AJ4" s="495">
        <f>INDEX('Hulpblad inkooptarieven'!D:D,MATCH('Rekenblad Verkeer'!$AJ$3,'Hulpblad inkooptarieven'!$A:$A,0))*(O4+R4)</f>
        <v>5.3746650000000002</v>
      </c>
      <c r="AK4" s="495">
        <f>INDEX('Hulpblad inkooptarieven'!D:D,MATCH('Rekenblad Verkeer'!$AK$3,'Hulpblad inkooptarieven'!$A:$A,0))*Q4</f>
        <v>12.5</v>
      </c>
      <c r="AL4" s="879">
        <f t="shared" ref="AL4:AL7" si="9">SUM(AH4:AK4)</f>
        <v>22.578665000000001</v>
      </c>
      <c r="AM4" s="872">
        <f>AG4*Parameters!$B$3</f>
        <v>4</v>
      </c>
      <c r="AN4" s="495">
        <f>IF(LEFT(I4,2)="TZ",(('Vergoedingen grondslag'!$F$20+'Vergoedingen grondslag'!$I$20+'Vergoedingen grondslag'!$L$20+'Vergoedingen grondslag'!$O$20)*AG4)+('Vergoedingen grondslag'!$O$20*0+'Vergoedingen grondslag'!$R$20*0+'Vergoedingen grondslag'!$U$20*0)/Parameters!$B$9,('Vergoedingen grondslag'!$F$11+'Vergoedingen grondslag'!$I$11+'Vergoedingen grondslag'!$L$11+'Vergoedingen grondslag'!$O$11)*AG4)+('Vergoedingen grondslag'!$O$11*0+'Vergoedingen grondslag'!$R$11*0+'Vergoedingen grondslag'!$U$11+'Vergoedingen grondslag'!$X$11)/Parameters!$B$9</f>
        <v>1.6555555555555557</v>
      </c>
      <c r="AO4" s="178"/>
      <c r="AP4" s="874">
        <f t="shared" ref="AP4:AP7" si="10">SUM(AM4:AO4)</f>
        <v>5.6555555555555559</v>
      </c>
      <c r="AQ4" s="881">
        <f t="shared" ref="AQ4:AQ7" si="11">AL4+AP4</f>
        <v>28.234220555555556</v>
      </c>
      <c r="AR4" s="880">
        <f t="shared" ref="AR4:AR7" si="12">AG4-AQ4</f>
        <v>11.765779444444444</v>
      </c>
      <c r="AS4" s="876">
        <f t="shared" ref="AS4:AS7" si="13">IFERROR(AR4/AG4,"")</f>
        <v>0.2941444861111111</v>
      </c>
      <c r="AT4" s="494" t="b">
        <f t="shared" ref="AT4:AT7" si="14">AR4&lt;0</f>
        <v>0</v>
      </c>
      <c r="AU4" s="882" t="s">
        <v>868</v>
      </c>
      <c r="AV4" s="96">
        <v>1</v>
      </c>
    </row>
    <row r="5" spans="1:48" s="96" customFormat="1" ht="14.25" customHeight="1">
      <c r="A5" s="869" t="str">
        <f t="shared" si="0"/>
        <v>KPN BelVrij Weekend CMPSTN</v>
      </c>
      <c r="B5" s="494"/>
      <c r="C5" s="493" t="s">
        <v>1277</v>
      </c>
      <c r="D5" s="178" t="s">
        <v>463</v>
      </c>
      <c r="E5" s="178"/>
      <c r="F5" s="178"/>
      <c r="G5" s="178"/>
      <c r="H5" s="178" t="str">
        <f t="shared" si="1"/>
        <v>KPN BelVrij Weekend CMPSTN</v>
      </c>
      <c r="I5" s="494" t="str">
        <f t="shared" si="2"/>
        <v>KPN BelVrij Weekend CM</v>
      </c>
      <c r="J5" s="870">
        <f>INDEX(Verkeersprofielen!$B:$B,MATCH($H5,Verkeersprofielen!$A:$A,0))</f>
        <v>100</v>
      </c>
      <c r="K5" s="870">
        <f>INDEX(Verkeersprofielen!$C:$C,MATCH($H5,Verkeersprofielen!$A:$A,0))</f>
        <v>100</v>
      </c>
      <c r="L5" s="870">
        <f>INDEX(Verkeersprofielen!$D:$D,MATCH($H5,Verkeersprofielen!$A:$A,0))</f>
        <v>100</v>
      </c>
      <c r="M5" s="870">
        <f>INDEX(Verkeersprofielen!$E:$E,MATCH($H5,Verkeersprofielen!$A:$A,0))</f>
        <v>100</v>
      </c>
      <c r="N5" s="870">
        <f>INDEX(Verkeersprofielen!$F:$F,MATCH($H5,Verkeersprofielen!$A:$A,0))</f>
        <v>100</v>
      </c>
      <c r="O5" s="870">
        <f>INDEX(Verkeersprofielen!$G:$G,MATCH($H5,Verkeersprofielen!$A:$A,0))</f>
        <v>100</v>
      </c>
      <c r="P5" s="870">
        <f>INDEX(Verkeersprofielen!$H:$H,MATCH($H5,Verkeersprofielen!$A:$A,0))</f>
        <v>100</v>
      </c>
      <c r="Q5" s="870">
        <f>INDEX(Verkeersprofielen!$I:$I,MATCH($H5,Verkeersprofielen!$A:$A,0))</f>
        <v>100</v>
      </c>
      <c r="R5" s="870">
        <f>INDEX(Verkeersprofielen!$J:$J,MATCH($H5,Verkeersprofielen!$A:$A,0))</f>
        <v>0</v>
      </c>
      <c r="S5" s="871">
        <f>INDEX(Verkeersprofielen!$K:$K,MATCH($H5,Verkeersprofielen!$A:$A,0))</f>
        <v>0</v>
      </c>
      <c r="T5" s="872">
        <f>INDEX('Tarieven ZM'!$G:$G,MATCH($C5&amp;T$3,'Tarieven ZM'!$B:$B,0))*J5+K5*INDEX('Tarieven ZM'!$H:$H,MATCH($C5&amp;T$3,'Tarieven ZM'!$B:$B,0))</f>
        <v>0</v>
      </c>
      <c r="U5" s="873">
        <f>INDEX('Tarieven ZM'!$G:$G,MATCH($C5&amp;U$3,'Tarieven ZM'!$B:$B,0))*L5+M5*INDEX('Tarieven ZM'!$H:$H,MATCH($C5&amp;U$3,'Tarieven ZM'!$B:$B,0))</f>
        <v>0</v>
      </c>
      <c r="V5" s="873">
        <f>INDEX('Tarieven ZM'!$G:$G,MATCH($C5&amp;V$3,'Tarieven ZM'!$B:$B,0))*(N5+R5)+(O5+S5)*INDEX('Tarieven ZM'!$H:$H,MATCH($C5&amp;V$3,'Tarieven ZM'!$B:$B,0))</f>
        <v>0</v>
      </c>
      <c r="W5" s="873">
        <f>INDEX('Tarieven ZM'!$G:$G,MATCH($C5&amp;W$3,'Tarieven ZM'!$B:$B,0))*P5+Q5*INDEX('Tarieven ZM'!$H:$H,MATCH($C5&amp;W$3,'Tarieven ZM'!$B:$B,0))</f>
        <v>0</v>
      </c>
      <c r="X5" s="874">
        <f t="shared" si="3"/>
        <v>0</v>
      </c>
      <c r="Y5" s="875">
        <f>IF(ISNA(INDEX(Kortingsstaffels!$F:$F,MATCH($I5,Kortingsstaffels!$B:$B,0))),0,INDEX(Kortingsstaffels!$F:$F,MATCH($I5,Kortingsstaffels!$B:$B,0)))</f>
        <v>0</v>
      </c>
      <c r="Z5" s="876">
        <f>IF(ISNA(INDEX(Kortingsstaffels!$G:$G,MATCH($I5,Kortingsstaffels!$B:$B,0))),0,INDEX(Kortingsstaffels!$G:$G,MATCH($I5,Kortingsstaffels!$B:$B,0)))</f>
        <v>0</v>
      </c>
      <c r="AA5" s="876">
        <f>IF(ISNA(INDEX(Kortingsstaffels!$H:$H,MATCH($I5,Kortingsstaffels!$B:$B,0))),0,INDEX(Kortingsstaffels!$H:$H,MATCH($I5,Kortingsstaffels!$B:$B,0)))</f>
        <v>0</v>
      </c>
      <c r="AB5" s="877">
        <f>IF(ISNA(INDEX(Kortingsstaffels!$I:$I,MATCH($I5,Kortingsstaffels!$B:$B,0))),0,INDEX(Kortingsstaffels!$I:$I,MATCH($I5,Kortingsstaffels!$B:$B,0)))</f>
        <v>0</v>
      </c>
      <c r="AC5" s="878">
        <f t="shared" si="4"/>
        <v>0</v>
      </c>
      <c r="AD5" s="495">
        <f t="shared" si="5"/>
        <v>0</v>
      </c>
      <c r="AE5" s="495">
        <f t="shared" si="6"/>
        <v>0</v>
      </c>
      <c r="AF5" s="495">
        <f t="shared" si="7"/>
        <v>0</v>
      </c>
      <c r="AG5" s="879">
        <f t="shared" si="8"/>
        <v>0</v>
      </c>
      <c r="AH5" s="880">
        <f>INDEX('Hulpblad inkooptarieven'!$D:$D,MATCH('Rekenblad Verkeer'!$AH$3,'Hulpblad inkooptarieven'!$A:$A,0))*K5</f>
        <v>2.302</v>
      </c>
      <c r="AI5" s="495">
        <f>INDEX('Hulpblad inkooptarieven'!D:D,MATCH('Rekenblad Verkeer'!$AI$3,'Hulpblad inkooptarieven'!$A:$A,0))*M5</f>
        <v>2.4020000000000001</v>
      </c>
      <c r="AJ5" s="495">
        <f>INDEX('Hulpblad inkooptarieven'!D:D,MATCH('Rekenblad Verkeer'!$AJ$3,'Hulpblad inkooptarieven'!$A:$A,0))*(O5+R5)</f>
        <v>5.3746650000000002</v>
      </c>
      <c r="AK5" s="495">
        <f>INDEX('Hulpblad inkooptarieven'!D:D,MATCH('Rekenblad Verkeer'!$AK$3,'Hulpblad inkooptarieven'!$A:$A,0))*Q5</f>
        <v>12.5</v>
      </c>
      <c r="AL5" s="879">
        <f t="shared" si="9"/>
        <v>22.578665000000001</v>
      </c>
      <c r="AM5" s="872">
        <f>AG5*Parameters!$B$3</f>
        <v>0</v>
      </c>
      <c r="AN5" s="495">
        <f>IF(LEFT(I5,2)="TZ",(('Vergoedingen grondslag'!$F$20+'Vergoedingen grondslag'!$I$20+'Vergoedingen grondslag'!$L$20+'Vergoedingen grondslag'!$O$20)*AG5)+('Vergoedingen grondslag'!$O$20*0+'Vergoedingen grondslag'!$R$20*0+'Vergoedingen grondslag'!$U$20*0)/Parameters!$B$9,('Vergoedingen grondslag'!$F$11+'Vergoedingen grondslag'!$I$11+'Vergoedingen grondslag'!$L$11+'Vergoedingen grondslag'!$O$11)*AG5)+('Vergoedingen grondslag'!$O$11*0+'Vergoedingen grondslag'!$R$11*0+'Vergoedingen grondslag'!$U$11+'Vergoedingen grondslag'!$X$11)/Parameters!$B$9</f>
        <v>5.5555555555555552E-2</v>
      </c>
      <c r="AO5" s="178"/>
      <c r="AP5" s="874">
        <f t="shared" si="10"/>
        <v>5.5555555555555552E-2</v>
      </c>
      <c r="AQ5" s="881">
        <f t="shared" si="11"/>
        <v>22.634220555555558</v>
      </c>
      <c r="AR5" s="880">
        <f t="shared" si="12"/>
        <v>-22.634220555555558</v>
      </c>
      <c r="AS5" s="876" t="str">
        <f t="shared" si="13"/>
        <v/>
      </c>
      <c r="AT5" s="494" t="b">
        <f t="shared" si="14"/>
        <v>1</v>
      </c>
      <c r="AU5" s="882" t="s">
        <v>868</v>
      </c>
      <c r="AV5" s="96">
        <v>1</v>
      </c>
    </row>
    <row r="6" spans="1:48" s="96" customFormat="1" ht="14.25" customHeight="1">
      <c r="A6" s="869" t="str">
        <f t="shared" si="0"/>
        <v>KPN BelVrij Avond&amp;Weekend CMPSTN</v>
      </c>
      <c r="B6" s="494"/>
      <c r="C6" s="493" t="s">
        <v>1278</v>
      </c>
      <c r="D6" s="178" t="s">
        <v>463</v>
      </c>
      <c r="E6" s="178"/>
      <c r="F6" s="178"/>
      <c r="G6" s="178"/>
      <c r="H6" s="178" t="str">
        <f t="shared" si="1"/>
        <v>KPN BelVrij Avond&amp;Weekend CMPSTN</v>
      </c>
      <c r="I6" s="494" t="str">
        <f t="shared" si="2"/>
        <v>KPN BelVrij Avond&amp;Weekend CM</v>
      </c>
      <c r="J6" s="870">
        <f>INDEX(Verkeersprofielen!$B:$B,MATCH($H6,Verkeersprofielen!$A:$A,0))</f>
        <v>100</v>
      </c>
      <c r="K6" s="870">
        <f>INDEX(Verkeersprofielen!$C:$C,MATCH($H6,Verkeersprofielen!$A:$A,0))</f>
        <v>100</v>
      </c>
      <c r="L6" s="870">
        <f>INDEX(Verkeersprofielen!$D:$D,MATCH($H6,Verkeersprofielen!$A:$A,0))</f>
        <v>100</v>
      </c>
      <c r="M6" s="870">
        <f>INDEX(Verkeersprofielen!$E:$E,MATCH($H6,Verkeersprofielen!$A:$A,0))</f>
        <v>100</v>
      </c>
      <c r="N6" s="870">
        <f>INDEX(Verkeersprofielen!$F:$F,MATCH($H6,Verkeersprofielen!$A:$A,0))</f>
        <v>100</v>
      </c>
      <c r="O6" s="870">
        <f>INDEX(Verkeersprofielen!$G:$G,MATCH($H6,Verkeersprofielen!$A:$A,0))</f>
        <v>100</v>
      </c>
      <c r="P6" s="870">
        <f>INDEX(Verkeersprofielen!$H:$H,MATCH($H6,Verkeersprofielen!$A:$A,0))</f>
        <v>100</v>
      </c>
      <c r="Q6" s="870">
        <f>INDEX(Verkeersprofielen!$I:$I,MATCH($H6,Verkeersprofielen!$A:$A,0))</f>
        <v>100</v>
      </c>
      <c r="R6" s="870">
        <f>INDEX(Verkeersprofielen!$J:$J,MATCH($H6,Verkeersprofielen!$A:$A,0))</f>
        <v>0</v>
      </c>
      <c r="S6" s="871">
        <f>INDEX(Verkeersprofielen!$K:$K,MATCH($H6,Verkeersprofielen!$A:$A,0))</f>
        <v>0</v>
      </c>
      <c r="T6" s="872">
        <f>INDEX('Tarieven ZM'!$G:$G,MATCH($C6&amp;T$3,'Tarieven ZM'!$B:$B,0))*J6+K6*INDEX('Tarieven ZM'!$H:$H,MATCH($C6&amp;T$3,'Tarieven ZM'!$B:$B,0))</f>
        <v>0</v>
      </c>
      <c r="U6" s="873">
        <f>INDEX('Tarieven ZM'!$G:$G,MATCH($C6&amp;U$3,'Tarieven ZM'!$B:$B,0))*L6+M6*INDEX('Tarieven ZM'!$H:$H,MATCH($C6&amp;U$3,'Tarieven ZM'!$B:$B,0))</f>
        <v>0</v>
      </c>
      <c r="V6" s="873">
        <f>INDEX('Tarieven ZM'!$G:$G,MATCH($C6&amp;V$3,'Tarieven ZM'!$B:$B,0))*(N6+R6)+(O6+S6)*INDEX('Tarieven ZM'!$H:$H,MATCH($C6&amp;V$3,'Tarieven ZM'!$B:$B,0))</f>
        <v>0</v>
      </c>
      <c r="W6" s="873">
        <f>INDEX('Tarieven ZM'!$G:$G,MATCH($C6&amp;W$3,'Tarieven ZM'!$B:$B,0))*P6+Q6*INDEX('Tarieven ZM'!$H:$H,MATCH($C6&amp;W$3,'Tarieven ZM'!$B:$B,0))</f>
        <v>0</v>
      </c>
      <c r="X6" s="874">
        <f t="shared" si="3"/>
        <v>0</v>
      </c>
      <c r="Y6" s="875">
        <f>IF(ISNA(INDEX(Kortingsstaffels!$F:$F,MATCH($I6,Kortingsstaffels!$B:$B,0))),0,INDEX(Kortingsstaffels!$F:$F,MATCH($I6,Kortingsstaffels!$B:$B,0)))</f>
        <v>0</v>
      </c>
      <c r="Z6" s="876">
        <f>IF(ISNA(INDEX(Kortingsstaffels!$G:$G,MATCH($I6,Kortingsstaffels!$B:$B,0))),0,INDEX(Kortingsstaffels!$G:$G,MATCH($I6,Kortingsstaffels!$B:$B,0)))</f>
        <v>0</v>
      </c>
      <c r="AA6" s="876">
        <f>IF(ISNA(INDEX(Kortingsstaffels!$H:$H,MATCH($I6,Kortingsstaffels!$B:$B,0))),0,INDEX(Kortingsstaffels!$H:$H,MATCH($I6,Kortingsstaffels!$B:$B,0)))</f>
        <v>0</v>
      </c>
      <c r="AB6" s="877">
        <f>IF(ISNA(INDEX(Kortingsstaffels!$I:$I,MATCH($I6,Kortingsstaffels!$B:$B,0))),0,INDEX(Kortingsstaffels!$I:$I,MATCH($I6,Kortingsstaffels!$B:$B,0)))</f>
        <v>0</v>
      </c>
      <c r="AC6" s="878">
        <f t="shared" si="4"/>
        <v>0</v>
      </c>
      <c r="AD6" s="495">
        <f t="shared" si="5"/>
        <v>0</v>
      </c>
      <c r="AE6" s="495">
        <f t="shared" si="6"/>
        <v>0</v>
      </c>
      <c r="AF6" s="495">
        <f t="shared" si="7"/>
        <v>0</v>
      </c>
      <c r="AG6" s="879">
        <f t="shared" si="8"/>
        <v>0</v>
      </c>
      <c r="AH6" s="880">
        <f>INDEX('Hulpblad inkooptarieven'!$D:$D,MATCH('Rekenblad Verkeer'!$AH$3,'Hulpblad inkooptarieven'!$A:$A,0))*K6</f>
        <v>2.302</v>
      </c>
      <c r="AI6" s="495">
        <f>INDEX('Hulpblad inkooptarieven'!D:D,MATCH('Rekenblad Verkeer'!$AI$3,'Hulpblad inkooptarieven'!$A:$A,0))*M6</f>
        <v>2.4020000000000001</v>
      </c>
      <c r="AJ6" s="495">
        <f>INDEX('Hulpblad inkooptarieven'!D:D,MATCH('Rekenblad Verkeer'!$AJ$3,'Hulpblad inkooptarieven'!$A:$A,0))*(O6+R6)</f>
        <v>5.3746650000000002</v>
      </c>
      <c r="AK6" s="495">
        <f>INDEX('Hulpblad inkooptarieven'!D:D,MATCH('Rekenblad Verkeer'!$AK$3,'Hulpblad inkooptarieven'!$A:$A,0))*Q6</f>
        <v>12.5</v>
      </c>
      <c r="AL6" s="879">
        <f t="shared" si="9"/>
        <v>22.578665000000001</v>
      </c>
      <c r="AM6" s="872">
        <f>AG6*Parameters!$B$3</f>
        <v>0</v>
      </c>
      <c r="AN6" s="495">
        <f>IF(LEFT(I6,2)="TZ",(('Vergoedingen grondslag'!$F$20+'Vergoedingen grondslag'!$I$20+'Vergoedingen grondslag'!$L$20+'Vergoedingen grondslag'!$O$20)*AG6)+('Vergoedingen grondslag'!$O$20*0+'Vergoedingen grondslag'!$R$20*0+'Vergoedingen grondslag'!$U$20*0)/Parameters!$B$9,('Vergoedingen grondslag'!$F$11+'Vergoedingen grondslag'!$I$11+'Vergoedingen grondslag'!$L$11+'Vergoedingen grondslag'!$O$11)*AG6)+('Vergoedingen grondslag'!$O$11*0+'Vergoedingen grondslag'!$R$11*0+'Vergoedingen grondslag'!$U$11+'Vergoedingen grondslag'!$X$11)/Parameters!$B$9</f>
        <v>5.5555555555555552E-2</v>
      </c>
      <c r="AO6" s="178"/>
      <c r="AP6" s="874">
        <f t="shared" si="10"/>
        <v>5.5555555555555552E-2</v>
      </c>
      <c r="AQ6" s="881">
        <f t="shared" si="11"/>
        <v>22.634220555555558</v>
      </c>
      <c r="AR6" s="880">
        <f t="shared" si="12"/>
        <v>-22.634220555555558</v>
      </c>
      <c r="AS6" s="876" t="str">
        <f t="shared" si="13"/>
        <v/>
      </c>
      <c r="AT6" s="494" t="b">
        <f t="shared" si="14"/>
        <v>1</v>
      </c>
      <c r="AU6" s="882" t="s">
        <v>868</v>
      </c>
      <c r="AV6" s="96">
        <v>1</v>
      </c>
    </row>
    <row r="7" spans="1:48" s="96" customFormat="1" ht="14.25" customHeight="1">
      <c r="A7" s="869" t="str">
        <f t="shared" si="0"/>
        <v>KPN BelVrij Altijd CMPSTN</v>
      </c>
      <c r="B7" s="494"/>
      <c r="C7" s="493" t="s">
        <v>1279</v>
      </c>
      <c r="D7" s="178" t="s">
        <v>463</v>
      </c>
      <c r="E7" s="178"/>
      <c r="F7" s="178"/>
      <c r="G7" s="178"/>
      <c r="H7" s="178" t="str">
        <f t="shared" si="1"/>
        <v>KPN BelVrij Altijd CMPSTN</v>
      </c>
      <c r="I7" s="494" t="str">
        <f t="shared" si="2"/>
        <v>KPN BelVrij Altijd CM</v>
      </c>
      <c r="J7" s="870">
        <f>INDEX(Verkeersprofielen!$B:$B,MATCH($H7,Verkeersprofielen!$A:$A,0))</f>
        <v>100</v>
      </c>
      <c r="K7" s="870">
        <f>INDEX(Verkeersprofielen!$C:$C,MATCH($H7,Verkeersprofielen!$A:$A,0))</f>
        <v>100</v>
      </c>
      <c r="L7" s="870">
        <f>INDEX(Verkeersprofielen!$D:$D,MATCH($H7,Verkeersprofielen!$A:$A,0))</f>
        <v>100</v>
      </c>
      <c r="M7" s="870">
        <f>INDEX(Verkeersprofielen!$E:$E,MATCH($H7,Verkeersprofielen!$A:$A,0))</f>
        <v>100</v>
      </c>
      <c r="N7" s="870">
        <f>INDEX(Verkeersprofielen!$F:$F,MATCH($H7,Verkeersprofielen!$A:$A,0))</f>
        <v>100</v>
      </c>
      <c r="O7" s="870">
        <f>INDEX(Verkeersprofielen!$G:$G,MATCH($H7,Verkeersprofielen!$A:$A,0))</f>
        <v>100</v>
      </c>
      <c r="P7" s="870">
        <f>INDEX(Verkeersprofielen!$H:$H,MATCH($H7,Verkeersprofielen!$A:$A,0))</f>
        <v>100</v>
      </c>
      <c r="Q7" s="870">
        <f>INDEX(Verkeersprofielen!$I:$I,MATCH($H7,Verkeersprofielen!$A:$A,0))</f>
        <v>100</v>
      </c>
      <c r="R7" s="870">
        <f>INDEX(Verkeersprofielen!$J:$J,MATCH($H7,Verkeersprofielen!$A:$A,0))</f>
        <v>0</v>
      </c>
      <c r="S7" s="871">
        <f>INDEX(Verkeersprofielen!$K:$K,MATCH($H7,Verkeersprofielen!$A:$A,0))</f>
        <v>0</v>
      </c>
      <c r="T7" s="872">
        <f>INDEX('Tarieven ZM'!$G:$G,MATCH($C7&amp;T$3,'Tarieven ZM'!$B:$B,0))*J7+K7*INDEX('Tarieven ZM'!$H:$H,MATCH($C7&amp;T$3,'Tarieven ZM'!$B:$B,0))</f>
        <v>0</v>
      </c>
      <c r="U7" s="873">
        <f>INDEX('Tarieven ZM'!$G:$G,MATCH($C7&amp;U$3,'Tarieven ZM'!$B:$B,0))*L7+M7*INDEX('Tarieven ZM'!$H:$H,MATCH($C7&amp;U$3,'Tarieven ZM'!$B:$B,0))</f>
        <v>0</v>
      </c>
      <c r="V7" s="873">
        <f>INDEX('Tarieven ZM'!$G:$G,MATCH($C7&amp;V$3,'Tarieven ZM'!$B:$B,0))*(N7+R7)+(O7+S7)*INDEX('Tarieven ZM'!$H:$H,MATCH($C7&amp;V$3,'Tarieven ZM'!$B:$B,0))</f>
        <v>0</v>
      </c>
      <c r="W7" s="873">
        <f>INDEX('Tarieven ZM'!$G:$G,MATCH($C7&amp;W$3,'Tarieven ZM'!$B:$B,0))*P7+Q7*INDEX('Tarieven ZM'!$H:$H,MATCH($C7&amp;W$3,'Tarieven ZM'!$B:$B,0))</f>
        <v>0</v>
      </c>
      <c r="X7" s="874">
        <f t="shared" si="3"/>
        <v>0</v>
      </c>
      <c r="Y7" s="875">
        <f>IF(ISNA(INDEX(Kortingsstaffels!$F:$F,MATCH($I7,Kortingsstaffels!$B:$B,0))),0,INDEX(Kortingsstaffels!$F:$F,MATCH($I7,Kortingsstaffels!$B:$B,0)))</f>
        <v>0</v>
      </c>
      <c r="Z7" s="876">
        <f>IF(ISNA(INDEX(Kortingsstaffels!$G:$G,MATCH($I7,Kortingsstaffels!$B:$B,0))),0,INDEX(Kortingsstaffels!$G:$G,MATCH($I7,Kortingsstaffels!$B:$B,0)))</f>
        <v>0</v>
      </c>
      <c r="AA7" s="876">
        <f>IF(ISNA(INDEX(Kortingsstaffels!$H:$H,MATCH($I7,Kortingsstaffels!$B:$B,0))),0,INDEX(Kortingsstaffels!$H:$H,MATCH($I7,Kortingsstaffels!$B:$B,0)))</f>
        <v>0</v>
      </c>
      <c r="AB7" s="877">
        <f>IF(ISNA(INDEX(Kortingsstaffels!$I:$I,MATCH($I7,Kortingsstaffels!$B:$B,0))),0,INDEX(Kortingsstaffels!$I:$I,MATCH($I7,Kortingsstaffels!$B:$B,0)))</f>
        <v>0</v>
      </c>
      <c r="AC7" s="878">
        <f t="shared" si="4"/>
        <v>0</v>
      </c>
      <c r="AD7" s="495">
        <f t="shared" si="5"/>
        <v>0</v>
      </c>
      <c r="AE7" s="495">
        <f t="shared" si="6"/>
        <v>0</v>
      </c>
      <c r="AF7" s="495">
        <f t="shared" si="7"/>
        <v>0</v>
      </c>
      <c r="AG7" s="879">
        <f t="shared" si="8"/>
        <v>0</v>
      </c>
      <c r="AH7" s="880">
        <f>INDEX('Hulpblad inkooptarieven'!$D:$D,MATCH('Rekenblad Verkeer'!$AH$3,'Hulpblad inkooptarieven'!$A:$A,0))*K7</f>
        <v>2.302</v>
      </c>
      <c r="AI7" s="495">
        <f>INDEX('Hulpblad inkooptarieven'!D:D,MATCH('Rekenblad Verkeer'!$AI$3,'Hulpblad inkooptarieven'!$A:$A,0))*M7</f>
        <v>2.4020000000000001</v>
      </c>
      <c r="AJ7" s="495">
        <f>INDEX('Hulpblad inkooptarieven'!D:D,MATCH('Rekenblad Verkeer'!$AJ$3,'Hulpblad inkooptarieven'!$A:$A,0))*(O7+R7)</f>
        <v>5.3746650000000002</v>
      </c>
      <c r="AK7" s="495">
        <f>INDEX('Hulpblad inkooptarieven'!D:D,MATCH('Rekenblad Verkeer'!$AK$3,'Hulpblad inkooptarieven'!$A:$A,0))*Q7</f>
        <v>12.5</v>
      </c>
      <c r="AL7" s="879">
        <f t="shared" si="9"/>
        <v>22.578665000000001</v>
      </c>
      <c r="AM7" s="872">
        <f>AG7*Parameters!$B$3</f>
        <v>0</v>
      </c>
      <c r="AN7" s="495">
        <f>IF(LEFT(I7,2)="TZ",(('Vergoedingen grondslag'!$F$20+'Vergoedingen grondslag'!$I$20+'Vergoedingen grondslag'!$L$20+'Vergoedingen grondslag'!$O$20)*AG7)+('Vergoedingen grondslag'!$O$20*0+'Vergoedingen grondslag'!$R$20*0+'Vergoedingen grondslag'!$U$20*0)/Parameters!$B$9,('Vergoedingen grondslag'!$F$11+'Vergoedingen grondslag'!$I$11+'Vergoedingen grondslag'!$L$11+'Vergoedingen grondslag'!$O$11)*AG7)+('Vergoedingen grondslag'!$O$11*0+'Vergoedingen grondslag'!$R$11*0+'Vergoedingen grondslag'!$U$11+'Vergoedingen grondslag'!$X$11)/Parameters!$B$9</f>
        <v>5.5555555555555552E-2</v>
      </c>
      <c r="AO7" s="178"/>
      <c r="AP7" s="874">
        <f t="shared" si="10"/>
        <v>5.5555555555555552E-2</v>
      </c>
      <c r="AQ7" s="881">
        <f t="shared" si="11"/>
        <v>22.634220555555558</v>
      </c>
      <c r="AR7" s="880">
        <f t="shared" si="12"/>
        <v>-22.634220555555558</v>
      </c>
      <c r="AS7" s="876" t="str">
        <f t="shared" si="13"/>
        <v/>
      </c>
      <c r="AT7" s="494" t="b">
        <f t="shared" si="14"/>
        <v>1</v>
      </c>
      <c r="AU7" s="882" t="s">
        <v>868</v>
      </c>
      <c r="AV7" s="96">
        <v>1</v>
      </c>
    </row>
    <row r="8" spans="1:48" s="96" customFormat="1" ht="14.25" customHeight="1">
      <c r="A8" s="869" t="str">
        <f t="shared" ref="A8" si="15">C8&amp;D8&amp;E8&amp;F8&amp;G8</f>
        <v>ZBTPSTN100</v>
      </c>
      <c r="B8" s="494"/>
      <c r="C8" s="493" t="s">
        <v>488</v>
      </c>
      <c r="D8" s="178" t="s">
        <v>463</v>
      </c>
      <c r="E8" s="178"/>
      <c r="F8" s="178">
        <v>100</v>
      </c>
      <c r="G8" s="178"/>
      <c r="H8" s="178" t="str">
        <f>C8&amp;D8&amp;E8&amp;F8</f>
        <v>ZBTPSTN100</v>
      </c>
      <c r="I8" s="494" t="str">
        <f t="shared" ref="I8" si="16">C8&amp;E8&amp;G8</f>
        <v>ZBT</v>
      </c>
      <c r="J8" s="870">
        <f>INDEX(Verkeersprofielen!$B:$B,MATCH($H8,Verkeersprofielen!$A:$A,0))</f>
        <v>100</v>
      </c>
      <c r="K8" s="870">
        <f>INDEX(Verkeersprofielen!$C:$C,MATCH($H8,Verkeersprofielen!$A:$A,0))</f>
        <v>100</v>
      </c>
      <c r="L8" s="870">
        <f>INDEX(Verkeersprofielen!$D:$D,MATCH($H8,Verkeersprofielen!$A:$A,0))</f>
        <v>100</v>
      </c>
      <c r="M8" s="870">
        <f>INDEX(Verkeersprofielen!$E:$E,MATCH($H8,Verkeersprofielen!$A:$A,0))</f>
        <v>100</v>
      </c>
      <c r="N8" s="870">
        <f>INDEX(Verkeersprofielen!$F:$F,MATCH($H8,Verkeersprofielen!$A:$A,0))</f>
        <v>100</v>
      </c>
      <c r="O8" s="870">
        <f>INDEX(Verkeersprofielen!$G:$G,MATCH($H8,Verkeersprofielen!$A:$A,0))</f>
        <v>100</v>
      </c>
      <c r="P8" s="870">
        <f>INDEX(Verkeersprofielen!$H:$H,MATCH($H8,Verkeersprofielen!$A:$A,0))</f>
        <v>100</v>
      </c>
      <c r="Q8" s="870">
        <f>INDEX(Verkeersprofielen!$I:$I,MATCH($H8,Verkeersprofielen!$A:$A,0))</f>
        <v>100</v>
      </c>
      <c r="R8" s="870">
        <f>INDEX(Verkeersprofielen!$J:$J,MATCH($H8,Verkeersprofielen!$A:$A,0))</f>
        <v>0</v>
      </c>
      <c r="S8" s="871">
        <f>INDEX(Verkeersprofielen!$K:$K,MATCH($H8,Verkeersprofielen!$A:$A,0))</f>
        <v>0</v>
      </c>
      <c r="T8" s="872">
        <f>INDEX('Tarieven ZM'!$G:$G,MATCH($C8&amp;T$3,'Tarieven ZM'!$B:$B,0))*J8+K8*INDEX('Tarieven ZM'!$H:$H,MATCH($C8&amp;T$3,'Tarieven ZM'!$B:$B,0))</f>
        <v>15</v>
      </c>
      <c r="U8" s="873">
        <f>INDEX('Tarieven ZM'!$G:$G,MATCH($C8&amp;U$3,'Tarieven ZM'!$B:$B,0))*L8+M8*INDEX('Tarieven ZM'!$H:$H,MATCH($C8&amp;U$3,'Tarieven ZM'!$B:$B,0))</f>
        <v>15</v>
      </c>
      <c r="V8" s="873">
        <f>INDEX('Tarieven ZM'!$G:$G,MATCH($C8&amp;V$3,'Tarieven ZM'!$B:$B,0))*(N8+R8)+(O8+S8)*INDEX('Tarieven ZM'!$H:$H,MATCH($C8&amp;V$3,'Tarieven ZM'!$B:$B,0))</f>
        <v>15</v>
      </c>
      <c r="W8" s="873">
        <f>INDEX('Tarieven ZM'!$G:$G,MATCH($C8&amp;W$3,'Tarieven ZM'!$B:$B,0))*P8+Q8*INDEX('Tarieven ZM'!$H:$H,MATCH($C8&amp;W$3,'Tarieven ZM'!$B:$B,0))</f>
        <v>15</v>
      </c>
      <c r="X8" s="874">
        <f t="shared" ref="X8" si="17">SUM(T8:W8)</f>
        <v>60</v>
      </c>
      <c r="Y8" s="875">
        <f>IF(ISNA(INDEX(Kortingsstaffels!$F:$F,MATCH($I8,Kortingsstaffels!$B:$B,0))),0,INDEX(Kortingsstaffels!$F:$F,MATCH($I8,Kortingsstaffels!$B:$B,0)))</f>
        <v>0</v>
      </c>
      <c r="Z8" s="876">
        <f>IF(ISNA(INDEX(Kortingsstaffels!$G:$G,MATCH($I8,Kortingsstaffels!$B:$B,0))),0,INDEX(Kortingsstaffels!$G:$G,MATCH($I8,Kortingsstaffels!$B:$B,0)))</f>
        <v>0</v>
      </c>
      <c r="AA8" s="876">
        <f>IF(ISNA(INDEX(Kortingsstaffels!$H:$H,MATCH($I8,Kortingsstaffels!$B:$B,0))),0,INDEX(Kortingsstaffels!$H:$H,MATCH($I8,Kortingsstaffels!$B:$B,0)))</f>
        <v>0</v>
      </c>
      <c r="AB8" s="877">
        <f>IF(ISNA(INDEX(Kortingsstaffels!$I:$I,MATCH($I8,Kortingsstaffels!$B:$B,0))),0,INDEX(Kortingsstaffels!$I:$I,MATCH($I8,Kortingsstaffels!$B:$B,0)))</f>
        <v>0</v>
      </c>
      <c r="AC8" s="878">
        <f t="shared" ref="AC8" si="18">T8*(1-Y8)</f>
        <v>15</v>
      </c>
      <c r="AD8" s="495">
        <f t="shared" ref="AD8" si="19">U8*(1-Z8)</f>
        <v>15</v>
      </c>
      <c r="AE8" s="495">
        <f t="shared" ref="AE8" si="20">V8*(1-AA8)</f>
        <v>15</v>
      </c>
      <c r="AF8" s="495">
        <f t="shared" ref="AF8" si="21">W8*(1-AB8)</f>
        <v>15</v>
      </c>
      <c r="AG8" s="879">
        <f t="shared" ref="AG8" si="22">SUM(AC8:AF8)</f>
        <v>60</v>
      </c>
      <c r="AH8" s="880">
        <f>INDEX('Hulpblad inkooptarieven'!$D:$D,MATCH('Rekenblad Verkeer'!$AH$3,'Hulpblad inkooptarieven'!$A:$A,0))*K8</f>
        <v>2.302</v>
      </c>
      <c r="AI8" s="495">
        <f>INDEX('Hulpblad inkooptarieven'!D:D,MATCH('Rekenblad Verkeer'!$AI$3,'Hulpblad inkooptarieven'!$A:$A,0))*M8</f>
        <v>2.4020000000000001</v>
      </c>
      <c r="AJ8" s="495">
        <f>INDEX('Hulpblad inkooptarieven'!D:D,MATCH('Rekenblad Verkeer'!$AJ$3,'Hulpblad inkooptarieven'!$A:$A,0))*(O8+R8)</f>
        <v>5.3746650000000002</v>
      </c>
      <c r="AK8" s="495">
        <f>INDEX('Hulpblad inkooptarieven'!D:D,MATCH('Rekenblad Verkeer'!$AK$3,'Hulpblad inkooptarieven'!$A:$A,0))*Q8</f>
        <v>12.5</v>
      </c>
      <c r="AL8" s="879">
        <f t="shared" ref="AL8" si="23">SUM(AH8:AK8)</f>
        <v>22.578665000000001</v>
      </c>
      <c r="AM8" s="872">
        <f>AG8*Parameters!$B$3</f>
        <v>6</v>
      </c>
      <c r="AN8" s="495">
        <f>IF(LEFT(I8,2)="TZ",(('Vergoedingen grondslag'!$F$20+'Vergoedingen grondslag'!$I$20+'Vergoedingen grondslag'!$L$20+'Vergoedingen grondslag'!$O$20)*AG8)+('Vergoedingen grondslag'!$O$20*0+'Vergoedingen grondslag'!$R$20*0+'Vergoedingen grondslag'!$U$20*0)/Parameters!$B$9,('Vergoedingen grondslag'!$F$11+'Vergoedingen grondslag'!$I$11+'Vergoedingen grondslag'!$L$11+'Vergoedingen grondslag'!$O$11)*AG8)+('Vergoedingen grondslag'!$O$11*0+'Vergoedingen grondslag'!$R$11*0+'Vergoedingen grondslag'!$U$11+'Vergoedingen grondslag'!$X$11)/Parameters!$B$9</f>
        <v>2.4555555555555553</v>
      </c>
      <c r="AO8" s="178"/>
      <c r="AP8" s="874">
        <f t="shared" ref="AP8" si="24">SUM(AM8:AO8)</f>
        <v>8.4555555555555557</v>
      </c>
      <c r="AQ8" s="881">
        <f t="shared" ref="AQ8" si="25">AL8+AP8</f>
        <v>31.034220555555557</v>
      </c>
      <c r="AR8" s="880">
        <f t="shared" ref="AR8" si="26">AG8-AQ8</f>
        <v>28.965779444444443</v>
      </c>
      <c r="AS8" s="876">
        <f t="shared" ref="AS8" si="27">IFERROR(AR8/AG8,"")</f>
        <v>0.48276299074074075</v>
      </c>
      <c r="AT8" s="494" t="b">
        <f t="shared" ref="AT8" si="28">AR8&lt;0</f>
        <v>0</v>
      </c>
      <c r="AU8" s="882" t="s">
        <v>868</v>
      </c>
      <c r="AV8" s="96">
        <v>1</v>
      </c>
    </row>
    <row r="9" spans="1:48" s="96" customFormat="1" ht="14.25" customHeight="1">
      <c r="A9" s="869" t="str">
        <f>C9&amp;D9&amp;E9&amp;F9&amp;G9</f>
        <v>ZBTISDN1100</v>
      </c>
      <c r="B9" s="494"/>
      <c r="C9" s="493" t="s">
        <v>488</v>
      </c>
      <c r="D9" s="178" t="s">
        <v>464</v>
      </c>
      <c r="E9" s="178"/>
      <c r="F9" s="178">
        <v>100</v>
      </c>
      <c r="G9" s="178"/>
      <c r="H9" s="178" t="str">
        <f>C9&amp;D9&amp;E9&amp;F9</f>
        <v>ZBTISDN1100</v>
      </c>
      <c r="I9" s="494" t="str">
        <f t="shared" ref="I9:I10" si="29">C9&amp;E9&amp;G9</f>
        <v>ZBT</v>
      </c>
      <c r="J9" s="870">
        <f>INDEX(Verkeersprofielen!$B:$B,MATCH($H9,Verkeersprofielen!$A:$A,0))</f>
        <v>100</v>
      </c>
      <c r="K9" s="870">
        <f>INDEX(Verkeersprofielen!$C:$C,MATCH($H9,Verkeersprofielen!$A:$A,0))</f>
        <v>100</v>
      </c>
      <c r="L9" s="870">
        <f>INDEX(Verkeersprofielen!$D:$D,MATCH($H9,Verkeersprofielen!$A:$A,0))</f>
        <v>100</v>
      </c>
      <c r="M9" s="870">
        <f>INDEX(Verkeersprofielen!$E:$E,MATCH($H9,Verkeersprofielen!$A:$A,0))</f>
        <v>100</v>
      </c>
      <c r="N9" s="870">
        <f>INDEX(Verkeersprofielen!$F:$F,MATCH($H9,Verkeersprofielen!$A:$A,0))</f>
        <v>100</v>
      </c>
      <c r="O9" s="870">
        <f>INDEX(Verkeersprofielen!$G:$G,MATCH($H9,Verkeersprofielen!$A:$A,0))</f>
        <v>100</v>
      </c>
      <c r="P9" s="870">
        <f>INDEX(Verkeersprofielen!$H:$H,MATCH($H9,Verkeersprofielen!$A:$A,0))</f>
        <v>100</v>
      </c>
      <c r="Q9" s="870">
        <f>INDEX(Verkeersprofielen!$I:$I,MATCH($H9,Verkeersprofielen!$A:$A,0))</f>
        <v>100</v>
      </c>
      <c r="R9" s="870">
        <f>INDEX(Verkeersprofielen!$J:$J,MATCH($H9,Verkeersprofielen!$A:$A,0))</f>
        <v>0</v>
      </c>
      <c r="S9" s="871">
        <f>INDEX(Verkeersprofielen!$K:$K,MATCH($H9,Verkeersprofielen!$A:$A,0))</f>
        <v>0</v>
      </c>
      <c r="T9" s="872">
        <f>INDEX('Tarieven ZM'!$G:$G,MATCH($C9&amp;T$3,'Tarieven ZM'!$B:$B,0))*J9+K9*INDEX('Tarieven ZM'!$H:$H,MATCH($C9&amp;T$3,'Tarieven ZM'!$B:$B,0))</f>
        <v>15</v>
      </c>
      <c r="U9" s="873">
        <f>INDEX('Tarieven ZM'!$G:$G,MATCH($C9&amp;U$3,'Tarieven ZM'!$B:$B,0))*L9+M9*INDEX('Tarieven ZM'!$H:$H,MATCH($C9&amp;U$3,'Tarieven ZM'!$B:$B,0))</f>
        <v>15</v>
      </c>
      <c r="V9" s="873">
        <f>INDEX('Tarieven ZM'!$G:$G,MATCH($C9&amp;V$3,'Tarieven ZM'!$B:$B,0))*(N9+R9)+(O9+S9)*INDEX('Tarieven ZM'!$H:$H,MATCH($C9&amp;V$3,'Tarieven ZM'!$B:$B,0))</f>
        <v>15</v>
      </c>
      <c r="W9" s="873">
        <f>INDEX('Tarieven ZM'!$G:$G,MATCH($C9&amp;W$3,'Tarieven ZM'!$B:$B,0))*P9+Q9*INDEX('Tarieven ZM'!$H:$H,MATCH($C9&amp;W$3,'Tarieven ZM'!$B:$B,0))</f>
        <v>15</v>
      </c>
      <c r="X9" s="874">
        <f t="shared" ref="X9" si="30">SUM(T9:W9)</f>
        <v>60</v>
      </c>
      <c r="Y9" s="875">
        <f>IF(ISNA(INDEX(Kortingsstaffels!$F:$F,MATCH($I9,Kortingsstaffels!$B:$B,0))),0,INDEX(Kortingsstaffels!$F:$F,MATCH($I9,Kortingsstaffels!$B:$B,0)))</f>
        <v>0</v>
      </c>
      <c r="Z9" s="876">
        <f>IF(ISNA(INDEX(Kortingsstaffels!$G:$G,MATCH($I9,Kortingsstaffels!$B:$B,0))),0,INDEX(Kortingsstaffels!$G:$G,MATCH($I9,Kortingsstaffels!$B:$B,0)))</f>
        <v>0</v>
      </c>
      <c r="AA9" s="876">
        <f>IF(ISNA(INDEX(Kortingsstaffels!$H:$H,MATCH($I9,Kortingsstaffels!$B:$B,0))),0,INDEX(Kortingsstaffels!$H:$H,MATCH($I9,Kortingsstaffels!$B:$B,0)))</f>
        <v>0</v>
      </c>
      <c r="AB9" s="877">
        <f>IF(ISNA(INDEX(Kortingsstaffels!$I:$I,MATCH($I9,Kortingsstaffels!$B:$B,0))),0,INDEX(Kortingsstaffels!$I:$I,MATCH($I9,Kortingsstaffels!$B:$B,0)))</f>
        <v>0</v>
      </c>
      <c r="AC9" s="878">
        <f t="shared" ref="AC9" si="31">T9*(1-Y9)</f>
        <v>15</v>
      </c>
      <c r="AD9" s="495">
        <f t="shared" ref="AD9" si="32">U9*(1-Z9)</f>
        <v>15</v>
      </c>
      <c r="AE9" s="495">
        <f t="shared" ref="AE9" si="33">V9*(1-AA9)</f>
        <v>15</v>
      </c>
      <c r="AF9" s="495">
        <f t="shared" ref="AF9" si="34">W9*(1-AB9)</f>
        <v>15</v>
      </c>
      <c r="AG9" s="879">
        <f t="shared" ref="AG9" si="35">SUM(AC9:AF9)</f>
        <v>60</v>
      </c>
      <c r="AH9" s="880">
        <f>INDEX('Hulpblad inkooptarieven'!$D:$D,MATCH('Rekenblad Verkeer'!$AH$3,'Hulpblad inkooptarieven'!$A:$A,0))*K9</f>
        <v>2.302</v>
      </c>
      <c r="AI9" s="495">
        <f>INDEX('Hulpblad inkooptarieven'!D:D,MATCH('Rekenblad Verkeer'!$AI$3,'Hulpblad inkooptarieven'!$A:$A,0))*M9</f>
        <v>2.4020000000000001</v>
      </c>
      <c r="AJ9" s="495">
        <f>INDEX('Hulpblad inkooptarieven'!D:D,MATCH('Rekenblad Verkeer'!$AJ$3,'Hulpblad inkooptarieven'!$A:$A,0))*(O9+R9)</f>
        <v>5.3746650000000002</v>
      </c>
      <c r="AK9" s="495">
        <f>INDEX('Hulpblad inkooptarieven'!D:D,MATCH('Rekenblad Verkeer'!$AK$3,'Hulpblad inkooptarieven'!$A:$A,0))*Q9</f>
        <v>12.5</v>
      </c>
      <c r="AL9" s="879">
        <f t="shared" ref="AL9" si="36">SUM(AH9:AK9)</f>
        <v>22.578665000000001</v>
      </c>
      <c r="AM9" s="872">
        <f>AG9*Parameters!$B$3</f>
        <v>6</v>
      </c>
      <c r="AN9" s="495">
        <f>IF(LEFT(I9,2)="TZ",(('Vergoedingen grondslag'!$F$20+'Vergoedingen grondslag'!$I$20+'Vergoedingen grondslag'!$L$20+'Vergoedingen grondslag'!$O$20)*AG9)+('Vergoedingen grondslag'!$O$20*0+'Vergoedingen grondslag'!$R$20*0+'Vergoedingen grondslag'!$U$20*0)/Parameters!$B$9,('Vergoedingen grondslag'!$F$11+'Vergoedingen grondslag'!$I$11+'Vergoedingen grondslag'!$L$11+'Vergoedingen grondslag'!$O$11)*AG9)+('Vergoedingen grondslag'!$O$11*0+'Vergoedingen grondslag'!$R$11*0+'Vergoedingen grondslag'!$U$11+'Vergoedingen grondslag'!$X$11)/Parameters!$B$9</f>
        <v>2.4555555555555553</v>
      </c>
      <c r="AO9" s="178"/>
      <c r="AP9" s="874">
        <f t="shared" ref="AP9" si="37">SUM(AM9:AO9)</f>
        <v>8.4555555555555557</v>
      </c>
      <c r="AQ9" s="881">
        <f t="shared" ref="AQ9" si="38">AL9+AP9</f>
        <v>31.034220555555557</v>
      </c>
      <c r="AR9" s="880">
        <f t="shared" ref="AR9" si="39">AG9-AQ9</f>
        <v>28.965779444444443</v>
      </c>
      <c r="AS9" s="876">
        <f>IFERROR(AR9/AG9,"")</f>
        <v>0.48276299074074075</v>
      </c>
      <c r="AT9" s="494" t="b">
        <f>AR9&lt;0</f>
        <v>0</v>
      </c>
      <c r="AU9" s="882" t="s">
        <v>868</v>
      </c>
      <c r="AV9" s="96">
        <v>1</v>
      </c>
    </row>
    <row r="10" spans="1:48" s="96" customFormat="1" ht="14.4">
      <c r="A10" s="869" t="str">
        <f t="shared" ref="A10" si="40">C10&amp;D10&amp;E10&amp;F10&amp;G10</f>
        <v>ZBTISDN2100</v>
      </c>
      <c r="B10" s="494"/>
      <c r="C10" s="493" t="s">
        <v>488</v>
      </c>
      <c r="D10" s="178" t="s">
        <v>465</v>
      </c>
      <c r="E10" s="178"/>
      <c r="F10" s="178">
        <v>100</v>
      </c>
      <c r="G10" s="178"/>
      <c r="H10" s="178" t="str">
        <f t="shared" ref="H10" si="41">C10&amp;D10&amp;E10&amp;F10</f>
        <v>ZBTISDN2100</v>
      </c>
      <c r="I10" s="494" t="str">
        <f t="shared" si="29"/>
        <v>ZBT</v>
      </c>
      <c r="J10" s="870">
        <f>INDEX(Verkeersprofielen!$B:$B,MATCH($H10,Verkeersprofielen!$A:$A,0))</f>
        <v>100</v>
      </c>
      <c r="K10" s="870">
        <f>INDEX(Verkeersprofielen!$C:$C,MATCH($H10,Verkeersprofielen!$A:$A,0))</f>
        <v>100</v>
      </c>
      <c r="L10" s="870">
        <f>INDEX(Verkeersprofielen!$D:$D,MATCH($H10,Verkeersprofielen!$A:$A,0))</f>
        <v>100</v>
      </c>
      <c r="M10" s="870">
        <f>INDEX(Verkeersprofielen!$E:$E,MATCH($H10,Verkeersprofielen!$A:$A,0))</f>
        <v>100</v>
      </c>
      <c r="N10" s="870">
        <f>INDEX(Verkeersprofielen!$F:$F,MATCH($H10,Verkeersprofielen!$A:$A,0))</f>
        <v>100</v>
      </c>
      <c r="O10" s="870">
        <f>INDEX(Verkeersprofielen!$G:$G,MATCH($H10,Verkeersprofielen!$A:$A,0))</f>
        <v>100</v>
      </c>
      <c r="P10" s="870">
        <f>INDEX(Verkeersprofielen!$H:$H,MATCH($H10,Verkeersprofielen!$A:$A,0))</f>
        <v>100</v>
      </c>
      <c r="Q10" s="870">
        <f>INDEX(Verkeersprofielen!$I:$I,MATCH($H10,Verkeersprofielen!$A:$A,0))</f>
        <v>100</v>
      </c>
      <c r="R10" s="870">
        <f>INDEX(Verkeersprofielen!$J:$J,MATCH($H10,Verkeersprofielen!$A:$A,0))</f>
        <v>0</v>
      </c>
      <c r="S10" s="871">
        <f>INDEX(Verkeersprofielen!$K:$K,MATCH($H10,Verkeersprofielen!$A:$A,0))</f>
        <v>0</v>
      </c>
      <c r="T10" s="883">
        <f>INDEX('Tarieven ZM'!$G:$G,MATCH($C10&amp;T$3,'Tarieven ZM'!$B:$B,0))*J10+K10*INDEX('Tarieven ZM'!$H:$H,MATCH($C10&amp;T$3,'Tarieven ZM'!$B:$B,0))</f>
        <v>15</v>
      </c>
      <c r="U10" s="873">
        <f>INDEX('Tarieven ZM'!$G:$G,MATCH($C10&amp;U$3,'Tarieven ZM'!$B:$B,0))*L10+M10*INDEX('Tarieven ZM'!$H:$H,MATCH($C10&amp;U$3,'Tarieven ZM'!$B:$B,0))</f>
        <v>15</v>
      </c>
      <c r="V10" s="873">
        <f>INDEX('Tarieven ZM'!$G:$G,MATCH($C10&amp;V$3,'Tarieven ZM'!$B:$B,0))*(N10+R10)+(O10+S10)*INDEX('Tarieven ZM'!$H:$H,MATCH($C10&amp;V$3,'Tarieven ZM'!$B:$B,0))</f>
        <v>15</v>
      </c>
      <c r="W10" s="873">
        <f>INDEX('Tarieven ZM'!$G:$G,MATCH($C10&amp;W$3,'Tarieven ZM'!$B:$B,0))*P10+Q10*INDEX('Tarieven ZM'!$H:$H,MATCH($C10&amp;W$3,'Tarieven ZM'!$B:$B,0))</f>
        <v>15</v>
      </c>
      <c r="X10" s="874">
        <f t="shared" ref="X10" si="42">SUM(T10:W10)</f>
        <v>60</v>
      </c>
      <c r="Y10" s="884">
        <f>IF(ISNA(INDEX(Kortingsstaffels!$F:$F,MATCH($I10,Kortingsstaffels!$B:$B,0))),0,INDEX(Kortingsstaffels!$F:$F,MATCH($I10,Kortingsstaffels!$B:$B,0)))</f>
        <v>0</v>
      </c>
      <c r="Z10" s="876">
        <f>IF(ISNA(INDEX(Kortingsstaffels!$G:$G,MATCH($I10,Kortingsstaffels!$B:$B,0))),0,INDEX(Kortingsstaffels!$G:$G,MATCH($I10,Kortingsstaffels!$B:$B,0)))</f>
        <v>0</v>
      </c>
      <c r="AA10" s="876">
        <f>IF(ISNA(INDEX(Kortingsstaffels!$H:$H,MATCH($I10,Kortingsstaffels!$B:$B,0))),0,INDEX(Kortingsstaffels!$H:$H,MATCH($I10,Kortingsstaffels!$B:$B,0)))</f>
        <v>0</v>
      </c>
      <c r="AB10" s="877">
        <f>IF(ISNA(INDEX(Kortingsstaffels!$I:$I,MATCH($I10,Kortingsstaffels!$B:$B,0))),0,INDEX(Kortingsstaffels!$I:$I,MATCH($I10,Kortingsstaffels!$B:$B,0)))</f>
        <v>0</v>
      </c>
      <c r="AC10" s="885">
        <f t="shared" ref="AC10" si="43">T10*(1-Y10)</f>
        <v>15</v>
      </c>
      <c r="AD10" s="495">
        <f t="shared" ref="AD10" si="44">U10*(1-Z10)</f>
        <v>15</v>
      </c>
      <c r="AE10" s="495">
        <f t="shared" ref="AE10" si="45">V10*(1-AA10)</f>
        <v>15</v>
      </c>
      <c r="AF10" s="495">
        <f t="shared" ref="AF10" si="46">W10*(1-AB10)</f>
        <v>15</v>
      </c>
      <c r="AG10" s="879">
        <f t="shared" ref="AG10" si="47">SUM(AC10:AF10)</f>
        <v>60</v>
      </c>
      <c r="AH10" s="886">
        <f>INDEX('Hulpblad inkooptarieven'!$D:$D,MATCH('Rekenblad Verkeer'!$AH$3,'Hulpblad inkooptarieven'!$A:$A,0))*K10</f>
        <v>2.302</v>
      </c>
      <c r="AI10" s="495">
        <f>INDEX('Hulpblad inkooptarieven'!D:D,MATCH('Rekenblad Verkeer'!$AI$3,'Hulpblad inkooptarieven'!$A:$A,0))*M10</f>
        <v>2.4020000000000001</v>
      </c>
      <c r="AJ10" s="495">
        <f>INDEX('Hulpblad inkooptarieven'!D:D,MATCH('Rekenblad Verkeer'!$AJ$3,'Hulpblad inkooptarieven'!$A:$A,0))*(O10+R10)</f>
        <v>5.3746650000000002</v>
      </c>
      <c r="AK10" s="495">
        <f>INDEX('Hulpblad inkooptarieven'!D:D,MATCH('Rekenblad Verkeer'!$AK$3,'Hulpblad inkooptarieven'!$A:$A,0))*Q10</f>
        <v>12.5</v>
      </c>
      <c r="AL10" s="879">
        <f t="shared" ref="AL10" si="48">SUM(AH10:AK10)</f>
        <v>22.578665000000001</v>
      </c>
      <c r="AM10" s="883">
        <f>AG10*Parameters!$B$3</f>
        <v>6</v>
      </c>
      <c r="AN10" s="495">
        <f>IF(LEFT(I10,2)="TZ",(('Vergoedingen grondslag'!$F$20+'Vergoedingen grondslag'!$I$20+'Vergoedingen grondslag'!$L$20+'Vergoedingen grondslag'!$O$20)*AG10)+('Vergoedingen grondslag'!$O$20*0+'Vergoedingen grondslag'!$R$20*0+'Vergoedingen grondslag'!$U$20*0)/Parameters!$B$9,('Vergoedingen grondslag'!$F$11+'Vergoedingen grondslag'!$I$11+'Vergoedingen grondslag'!$L$11+'Vergoedingen grondslag'!$O$11)*AG10)+('Vergoedingen grondslag'!$O$11*0+'Vergoedingen grondslag'!$R$11*0+'Vergoedingen grondslag'!$U$11+'Vergoedingen grondslag'!$X$11)/Parameters!$B$9</f>
        <v>2.4555555555555553</v>
      </c>
      <c r="AO10" s="178"/>
      <c r="AP10" s="874">
        <f t="shared" ref="AP10" si="49">SUM(AM10:AO10)</f>
        <v>8.4555555555555557</v>
      </c>
      <c r="AQ10" s="887">
        <f t="shared" ref="AQ10" si="50">AL10+AP10</f>
        <v>31.034220555555557</v>
      </c>
      <c r="AR10" s="886">
        <f t="shared" ref="AR10" si="51">AG10-AQ10</f>
        <v>28.965779444444443</v>
      </c>
      <c r="AS10" s="876">
        <f t="shared" ref="AS10" si="52">IFERROR(AR10/AG10,"")</f>
        <v>0.48276299074074075</v>
      </c>
      <c r="AT10" s="494" t="b">
        <f t="shared" ref="AT10" si="53">AR10&lt;0</f>
        <v>0</v>
      </c>
      <c r="AU10" s="882" t="s">
        <v>868</v>
      </c>
      <c r="AV10" s="96">
        <v>1</v>
      </c>
    </row>
    <row r="11" spans="1:48" s="96" customFormat="1" ht="14.4">
      <c r="A11" s="869" t="str">
        <f t="shared" ref="A11" si="54">C11&amp;D11&amp;E11&amp;F11&amp;G11</f>
        <v>ZBTISDN15100</v>
      </c>
      <c r="B11" s="494"/>
      <c r="C11" s="493" t="s">
        <v>488</v>
      </c>
      <c r="D11" s="178" t="s">
        <v>466</v>
      </c>
      <c r="E11" s="178"/>
      <c r="F11" s="178">
        <v>100</v>
      </c>
      <c r="G11" s="178"/>
      <c r="H11" s="178" t="str">
        <f t="shared" ref="H11" si="55">C11&amp;D11&amp;E11&amp;F11</f>
        <v>ZBTISDN15100</v>
      </c>
      <c r="I11" s="494" t="str">
        <f t="shared" ref="I11" si="56">C11&amp;E11&amp;G11</f>
        <v>ZBT</v>
      </c>
      <c r="J11" s="870">
        <f>INDEX(Verkeersprofielen!$B:$B,MATCH($H11,Verkeersprofielen!$A:$A,0))</f>
        <v>100</v>
      </c>
      <c r="K11" s="870">
        <f>INDEX(Verkeersprofielen!$C:$C,MATCH($H11,Verkeersprofielen!$A:$A,0))</f>
        <v>100</v>
      </c>
      <c r="L11" s="870">
        <f>INDEX(Verkeersprofielen!$D:$D,MATCH($H11,Verkeersprofielen!$A:$A,0))</f>
        <v>100</v>
      </c>
      <c r="M11" s="870">
        <f>INDEX(Verkeersprofielen!$E:$E,MATCH($H11,Verkeersprofielen!$A:$A,0))</f>
        <v>100</v>
      </c>
      <c r="N11" s="870">
        <f>INDEX(Verkeersprofielen!$F:$F,MATCH($H11,Verkeersprofielen!$A:$A,0))</f>
        <v>100</v>
      </c>
      <c r="O11" s="870">
        <f>INDEX(Verkeersprofielen!$G:$G,MATCH($H11,Verkeersprofielen!$A:$A,0))</f>
        <v>100</v>
      </c>
      <c r="P11" s="870">
        <f>INDEX(Verkeersprofielen!$H:$H,MATCH($H11,Verkeersprofielen!$A:$A,0))</f>
        <v>100</v>
      </c>
      <c r="Q11" s="870">
        <f>INDEX(Verkeersprofielen!$I:$I,MATCH($H11,Verkeersprofielen!$A:$A,0))</f>
        <v>100</v>
      </c>
      <c r="R11" s="870">
        <f>INDEX(Verkeersprofielen!$J:$J,MATCH($H11,Verkeersprofielen!$A:$A,0))</f>
        <v>0</v>
      </c>
      <c r="S11" s="871">
        <f>INDEX(Verkeersprofielen!$K:$K,MATCH($H11,Verkeersprofielen!$A:$A,0))</f>
        <v>0</v>
      </c>
      <c r="T11" s="883">
        <f>INDEX('Tarieven ZM'!$G:$G,MATCH($C11&amp;T$3,'Tarieven ZM'!$B:$B,0))*J11+K11*INDEX('Tarieven ZM'!$H:$H,MATCH($C11&amp;T$3,'Tarieven ZM'!$B:$B,0))</f>
        <v>15</v>
      </c>
      <c r="U11" s="873">
        <f>INDEX('Tarieven ZM'!$G:$G,MATCH($C11&amp;U$3,'Tarieven ZM'!$B:$B,0))*L11+M11*INDEX('Tarieven ZM'!$H:$H,MATCH($C11&amp;U$3,'Tarieven ZM'!$B:$B,0))</f>
        <v>15</v>
      </c>
      <c r="V11" s="873">
        <f>INDEX('Tarieven ZM'!$G:$G,MATCH($C11&amp;V$3,'Tarieven ZM'!$B:$B,0))*(N11+R11)+(O11+S11)*INDEX('Tarieven ZM'!$H:$H,MATCH($C11&amp;V$3,'Tarieven ZM'!$B:$B,0))</f>
        <v>15</v>
      </c>
      <c r="W11" s="873">
        <f>INDEX('Tarieven ZM'!$G:$G,MATCH($C11&amp;W$3,'Tarieven ZM'!$B:$B,0))*P11+Q11*INDEX('Tarieven ZM'!$H:$H,MATCH($C11&amp;W$3,'Tarieven ZM'!$B:$B,0))</f>
        <v>15</v>
      </c>
      <c r="X11" s="874">
        <f t="shared" ref="X11" si="57">SUM(T11:W11)</f>
        <v>60</v>
      </c>
      <c r="Y11" s="884">
        <f>IF(ISNA(INDEX(Kortingsstaffels!$F:$F,MATCH($I11,Kortingsstaffels!$B:$B,0))),0,INDEX(Kortingsstaffels!$F:$F,MATCH($I11,Kortingsstaffels!$B:$B,0)))</f>
        <v>0</v>
      </c>
      <c r="Z11" s="876">
        <f>IF(ISNA(INDEX(Kortingsstaffels!$G:$G,MATCH($I11,Kortingsstaffels!$B:$B,0))),0,INDEX(Kortingsstaffels!$G:$G,MATCH($I11,Kortingsstaffels!$B:$B,0)))</f>
        <v>0</v>
      </c>
      <c r="AA11" s="876">
        <f>IF(ISNA(INDEX(Kortingsstaffels!$H:$H,MATCH($I11,Kortingsstaffels!$B:$B,0))),0,INDEX(Kortingsstaffels!$H:$H,MATCH($I11,Kortingsstaffels!$B:$B,0)))</f>
        <v>0</v>
      </c>
      <c r="AB11" s="877">
        <f>IF(ISNA(INDEX(Kortingsstaffels!$I:$I,MATCH($I11,Kortingsstaffels!$B:$B,0))),0,INDEX(Kortingsstaffels!$I:$I,MATCH($I11,Kortingsstaffels!$B:$B,0)))</f>
        <v>0</v>
      </c>
      <c r="AC11" s="885">
        <f t="shared" ref="AC11" si="58">T11*(1-Y11)</f>
        <v>15</v>
      </c>
      <c r="AD11" s="495">
        <f t="shared" ref="AD11" si="59">U11*(1-Z11)</f>
        <v>15</v>
      </c>
      <c r="AE11" s="495">
        <f t="shared" ref="AE11" si="60">V11*(1-AA11)</f>
        <v>15</v>
      </c>
      <c r="AF11" s="495">
        <f t="shared" ref="AF11" si="61">W11*(1-AB11)</f>
        <v>15</v>
      </c>
      <c r="AG11" s="879">
        <f t="shared" ref="AG11" si="62">SUM(AC11:AF11)</f>
        <v>60</v>
      </c>
      <c r="AH11" s="886">
        <f>INDEX('Hulpblad inkooptarieven'!$D:$D,MATCH('Rekenblad Verkeer'!$AH$3,'Hulpblad inkooptarieven'!$A:$A,0))*K11</f>
        <v>2.302</v>
      </c>
      <c r="AI11" s="495">
        <f>INDEX('Hulpblad inkooptarieven'!D:D,MATCH('Rekenblad Verkeer'!$AI$3,'Hulpblad inkooptarieven'!$A:$A,0))*M11</f>
        <v>2.4020000000000001</v>
      </c>
      <c r="AJ11" s="495">
        <f>INDEX('Hulpblad inkooptarieven'!D:D,MATCH('Rekenblad Verkeer'!$AJ$3,'Hulpblad inkooptarieven'!$A:$A,0))*(O11+R11)</f>
        <v>5.3746650000000002</v>
      </c>
      <c r="AK11" s="495">
        <f>INDEX('Hulpblad inkooptarieven'!D:D,MATCH('Rekenblad Verkeer'!$AK$3,'Hulpblad inkooptarieven'!$A:$A,0))*Q11</f>
        <v>12.5</v>
      </c>
      <c r="AL11" s="879">
        <f t="shared" ref="AL11" si="63">SUM(AH11:AK11)</f>
        <v>22.578665000000001</v>
      </c>
      <c r="AM11" s="883">
        <f>AG11*Parameters!$B$3</f>
        <v>6</v>
      </c>
      <c r="AN11" s="495">
        <f>IF(LEFT(I11,2)="TZ",(('Vergoedingen grondslag'!$F$20+'Vergoedingen grondslag'!$I$20+'Vergoedingen grondslag'!$L$20+'Vergoedingen grondslag'!$O$20)*AG11)+('Vergoedingen grondslag'!$O$20*0+'Vergoedingen grondslag'!$R$20*0+'Vergoedingen grondslag'!$U$20*0)/Parameters!$B$9,('Vergoedingen grondslag'!$F$11+'Vergoedingen grondslag'!$I$11+'Vergoedingen grondslag'!$L$11+'Vergoedingen grondslag'!$O$11)*AG11)+('Vergoedingen grondslag'!$O$11*0+'Vergoedingen grondslag'!$R$11*0+'Vergoedingen grondslag'!$U$11+'Vergoedingen grondslag'!$X$11)/Parameters!$B$9</f>
        <v>2.4555555555555553</v>
      </c>
      <c r="AO11" s="178"/>
      <c r="AP11" s="874">
        <f t="shared" ref="AP11" si="64">SUM(AM11:AO11)</f>
        <v>8.4555555555555557</v>
      </c>
      <c r="AQ11" s="887">
        <f t="shared" ref="AQ11" si="65">AL11+AP11</f>
        <v>31.034220555555557</v>
      </c>
      <c r="AR11" s="886">
        <f t="shared" ref="AR11" si="66">AG11-AQ11</f>
        <v>28.965779444444443</v>
      </c>
      <c r="AS11" s="876">
        <f t="shared" ref="AS11" si="67">IFERROR(AR11/AG11,"")</f>
        <v>0.48276299074074075</v>
      </c>
      <c r="AT11" s="494" t="b">
        <f t="shared" ref="AT11" si="68">AR11&lt;0</f>
        <v>0</v>
      </c>
      <c r="AU11" s="882" t="s">
        <v>868</v>
      </c>
      <c r="AV11" s="96">
        <v>1</v>
      </c>
    </row>
    <row r="12" spans="1:48" s="96" customFormat="1" ht="14.4">
      <c r="A12" s="869" t="str">
        <f t="shared" ref="A12" si="69">C12&amp;D12&amp;E12&amp;F12&amp;G12</f>
        <v>ZBTISDN20100</v>
      </c>
      <c r="B12" s="494"/>
      <c r="C12" s="493" t="s">
        <v>488</v>
      </c>
      <c r="D12" s="178" t="s">
        <v>468</v>
      </c>
      <c r="E12" s="178"/>
      <c r="F12" s="178">
        <v>100</v>
      </c>
      <c r="G12" s="178"/>
      <c r="H12" s="178" t="str">
        <f t="shared" ref="H12" si="70">C12&amp;D12&amp;E12&amp;F12</f>
        <v>ZBTISDN20100</v>
      </c>
      <c r="I12" s="494" t="str">
        <f t="shared" ref="I12" si="71">C12&amp;E12&amp;G12</f>
        <v>ZBT</v>
      </c>
      <c r="J12" s="870">
        <f>INDEX(Verkeersprofielen!$B:$B,MATCH($H12,Verkeersprofielen!$A:$A,0))</f>
        <v>100</v>
      </c>
      <c r="K12" s="870">
        <f>INDEX(Verkeersprofielen!$C:$C,MATCH($H12,Verkeersprofielen!$A:$A,0))</f>
        <v>100</v>
      </c>
      <c r="L12" s="870">
        <f>INDEX(Verkeersprofielen!$D:$D,MATCH($H12,Verkeersprofielen!$A:$A,0))</f>
        <v>100</v>
      </c>
      <c r="M12" s="870">
        <f>INDEX(Verkeersprofielen!$E:$E,MATCH($H12,Verkeersprofielen!$A:$A,0))</f>
        <v>100</v>
      </c>
      <c r="N12" s="870">
        <f>INDEX(Verkeersprofielen!$F:$F,MATCH($H12,Verkeersprofielen!$A:$A,0))</f>
        <v>100</v>
      </c>
      <c r="O12" s="870">
        <f>INDEX(Verkeersprofielen!$G:$G,MATCH($H12,Verkeersprofielen!$A:$A,0))</f>
        <v>100</v>
      </c>
      <c r="P12" s="870">
        <f>INDEX(Verkeersprofielen!$H:$H,MATCH($H12,Verkeersprofielen!$A:$A,0))</f>
        <v>100</v>
      </c>
      <c r="Q12" s="870">
        <f>INDEX(Verkeersprofielen!$I:$I,MATCH($H12,Verkeersprofielen!$A:$A,0))</f>
        <v>100</v>
      </c>
      <c r="R12" s="870">
        <f>INDEX(Verkeersprofielen!$J:$J,MATCH($H12,Verkeersprofielen!$A:$A,0))</f>
        <v>0</v>
      </c>
      <c r="S12" s="871">
        <f>INDEX(Verkeersprofielen!$K:$K,MATCH($H12,Verkeersprofielen!$A:$A,0))</f>
        <v>0</v>
      </c>
      <c r="T12" s="883">
        <f>INDEX('Tarieven ZM'!$G:$G,MATCH($C12&amp;T$3,'Tarieven ZM'!$B:$B,0))*J12+K12*INDEX('Tarieven ZM'!$H:$H,MATCH($C12&amp;T$3,'Tarieven ZM'!$B:$B,0))</f>
        <v>15</v>
      </c>
      <c r="U12" s="873">
        <f>INDEX('Tarieven ZM'!$G:$G,MATCH($C12&amp;U$3,'Tarieven ZM'!$B:$B,0))*L12+M12*INDEX('Tarieven ZM'!$H:$H,MATCH($C12&amp;U$3,'Tarieven ZM'!$B:$B,0))</f>
        <v>15</v>
      </c>
      <c r="V12" s="873">
        <f>INDEX('Tarieven ZM'!$G:$G,MATCH($C12&amp;V$3,'Tarieven ZM'!$B:$B,0))*(N12+R12)+(O12+S12)*INDEX('Tarieven ZM'!$H:$H,MATCH($C12&amp;V$3,'Tarieven ZM'!$B:$B,0))</f>
        <v>15</v>
      </c>
      <c r="W12" s="873">
        <f>INDEX('Tarieven ZM'!$G:$G,MATCH($C12&amp;W$3,'Tarieven ZM'!$B:$B,0))*P12+Q12*INDEX('Tarieven ZM'!$H:$H,MATCH($C12&amp;W$3,'Tarieven ZM'!$B:$B,0))</f>
        <v>15</v>
      </c>
      <c r="X12" s="874">
        <f t="shared" ref="X12" si="72">SUM(T12:W12)</f>
        <v>60</v>
      </c>
      <c r="Y12" s="884">
        <f>IF(ISNA(INDEX(Kortingsstaffels!$F:$F,MATCH($I12,Kortingsstaffels!$B:$B,0))),0,INDEX(Kortingsstaffels!$F:$F,MATCH($I12,Kortingsstaffels!$B:$B,0)))</f>
        <v>0</v>
      </c>
      <c r="Z12" s="876">
        <f>IF(ISNA(INDEX(Kortingsstaffels!$G:$G,MATCH($I12,Kortingsstaffels!$B:$B,0))),0,INDEX(Kortingsstaffels!$G:$G,MATCH($I12,Kortingsstaffels!$B:$B,0)))</f>
        <v>0</v>
      </c>
      <c r="AA12" s="876">
        <f>IF(ISNA(INDEX(Kortingsstaffels!$H:$H,MATCH($I12,Kortingsstaffels!$B:$B,0))),0,INDEX(Kortingsstaffels!$H:$H,MATCH($I12,Kortingsstaffels!$B:$B,0)))</f>
        <v>0</v>
      </c>
      <c r="AB12" s="877">
        <f>IF(ISNA(INDEX(Kortingsstaffels!$I:$I,MATCH($I12,Kortingsstaffels!$B:$B,0))),0,INDEX(Kortingsstaffels!$I:$I,MATCH($I12,Kortingsstaffels!$B:$B,0)))</f>
        <v>0</v>
      </c>
      <c r="AC12" s="885">
        <f t="shared" ref="AC12" si="73">T12*(1-Y12)</f>
        <v>15</v>
      </c>
      <c r="AD12" s="495">
        <f t="shared" ref="AD12" si="74">U12*(1-Z12)</f>
        <v>15</v>
      </c>
      <c r="AE12" s="495">
        <f t="shared" ref="AE12" si="75">V12*(1-AA12)</f>
        <v>15</v>
      </c>
      <c r="AF12" s="495">
        <f t="shared" ref="AF12" si="76">W12*(1-AB12)</f>
        <v>15</v>
      </c>
      <c r="AG12" s="879">
        <f t="shared" ref="AG12" si="77">SUM(AC12:AF12)</f>
        <v>60</v>
      </c>
      <c r="AH12" s="886">
        <f>INDEX('Hulpblad inkooptarieven'!$D:$D,MATCH('Rekenblad Verkeer'!$AH$3,'Hulpblad inkooptarieven'!$A:$A,0))*K12</f>
        <v>2.302</v>
      </c>
      <c r="AI12" s="495">
        <f>INDEX('Hulpblad inkooptarieven'!D:D,MATCH('Rekenblad Verkeer'!$AI$3,'Hulpblad inkooptarieven'!$A:$A,0))*M12</f>
        <v>2.4020000000000001</v>
      </c>
      <c r="AJ12" s="495">
        <f>INDEX('Hulpblad inkooptarieven'!D:D,MATCH('Rekenblad Verkeer'!$AJ$3,'Hulpblad inkooptarieven'!$A:$A,0))*(O12+R12)</f>
        <v>5.3746650000000002</v>
      </c>
      <c r="AK12" s="495">
        <f>INDEX('Hulpblad inkooptarieven'!D:D,MATCH('Rekenblad Verkeer'!$AK$3,'Hulpblad inkooptarieven'!$A:$A,0))*Q12</f>
        <v>12.5</v>
      </c>
      <c r="AL12" s="879">
        <f t="shared" ref="AL12" si="78">SUM(AH12:AK12)</f>
        <v>22.578665000000001</v>
      </c>
      <c r="AM12" s="883">
        <f>AG12*Parameters!$B$3</f>
        <v>6</v>
      </c>
      <c r="AN12" s="495">
        <f>IF(LEFT(I12,2)="TZ",(('Vergoedingen grondslag'!$F$20+'Vergoedingen grondslag'!$I$20+'Vergoedingen grondslag'!$L$20+'Vergoedingen grondslag'!$O$20)*AG12)+('Vergoedingen grondslag'!$O$20*0+'Vergoedingen grondslag'!$R$20*0+'Vergoedingen grondslag'!$U$20*0)/Parameters!$B$9,('Vergoedingen grondslag'!$F$11+'Vergoedingen grondslag'!$I$11+'Vergoedingen grondslag'!$L$11+'Vergoedingen grondslag'!$O$11)*AG12)+('Vergoedingen grondslag'!$O$11*0+'Vergoedingen grondslag'!$R$11*0+'Vergoedingen grondslag'!$U$11+'Vergoedingen grondslag'!$X$11)/Parameters!$B$9</f>
        <v>2.4555555555555553</v>
      </c>
      <c r="AO12" s="178"/>
      <c r="AP12" s="874">
        <f t="shared" ref="AP12" si="79">SUM(AM12:AO12)</f>
        <v>8.4555555555555557</v>
      </c>
      <c r="AQ12" s="887">
        <f t="shared" ref="AQ12" si="80">AL12+AP12</f>
        <v>31.034220555555557</v>
      </c>
      <c r="AR12" s="886">
        <f t="shared" ref="AR12" si="81">AG12-AQ12</f>
        <v>28.965779444444443</v>
      </c>
      <c r="AS12" s="876">
        <f t="shared" ref="AS12" si="82">IFERROR(AR12/AG12,"")</f>
        <v>0.48276299074074075</v>
      </c>
      <c r="AT12" s="494" t="b">
        <f t="shared" ref="AT12" si="83">AR12&lt;0</f>
        <v>0</v>
      </c>
      <c r="AU12" s="882" t="s">
        <v>868</v>
      </c>
      <c r="AV12" s="96">
        <v>1</v>
      </c>
    </row>
    <row r="13" spans="1:48" s="96" customFormat="1" ht="14.4">
      <c r="A13" s="869" t="str">
        <f t="shared" ref="A13" si="84">C13&amp;D13&amp;E13&amp;F13&amp;G13</f>
        <v>ZBTISDN30100</v>
      </c>
      <c r="B13" s="494"/>
      <c r="C13" s="493" t="s">
        <v>488</v>
      </c>
      <c r="D13" s="178" t="s">
        <v>469</v>
      </c>
      <c r="E13" s="178"/>
      <c r="F13" s="178">
        <v>100</v>
      </c>
      <c r="G13" s="178"/>
      <c r="H13" s="178" t="str">
        <f t="shared" ref="H13" si="85">C13&amp;D13&amp;E13&amp;F13</f>
        <v>ZBTISDN30100</v>
      </c>
      <c r="I13" s="494" t="str">
        <f t="shared" ref="I13" si="86">C13&amp;E13&amp;G13</f>
        <v>ZBT</v>
      </c>
      <c r="J13" s="870">
        <f>INDEX(Verkeersprofielen!$B:$B,MATCH($H13,Verkeersprofielen!$A:$A,0))</f>
        <v>100</v>
      </c>
      <c r="K13" s="870">
        <f>INDEX(Verkeersprofielen!$C:$C,MATCH($H13,Verkeersprofielen!$A:$A,0))</f>
        <v>100</v>
      </c>
      <c r="L13" s="870">
        <f>INDEX(Verkeersprofielen!$D:$D,MATCH($H13,Verkeersprofielen!$A:$A,0))</f>
        <v>100</v>
      </c>
      <c r="M13" s="870">
        <f>INDEX(Verkeersprofielen!$E:$E,MATCH($H13,Verkeersprofielen!$A:$A,0))</f>
        <v>100</v>
      </c>
      <c r="N13" s="870">
        <f>INDEX(Verkeersprofielen!$F:$F,MATCH($H13,Verkeersprofielen!$A:$A,0))</f>
        <v>100</v>
      </c>
      <c r="O13" s="870">
        <f>INDEX(Verkeersprofielen!$G:$G,MATCH($H13,Verkeersprofielen!$A:$A,0))</f>
        <v>100</v>
      </c>
      <c r="P13" s="870">
        <f>INDEX(Verkeersprofielen!$H:$H,MATCH($H13,Verkeersprofielen!$A:$A,0))</f>
        <v>100</v>
      </c>
      <c r="Q13" s="870">
        <f>INDEX(Verkeersprofielen!$I:$I,MATCH($H13,Verkeersprofielen!$A:$A,0))</f>
        <v>100</v>
      </c>
      <c r="R13" s="870">
        <f>INDEX(Verkeersprofielen!$J:$J,MATCH($H13,Verkeersprofielen!$A:$A,0))</f>
        <v>0</v>
      </c>
      <c r="S13" s="871">
        <f>INDEX(Verkeersprofielen!$K:$K,MATCH($H13,Verkeersprofielen!$A:$A,0))</f>
        <v>0</v>
      </c>
      <c r="T13" s="883">
        <f>INDEX('Tarieven ZM'!$G:$G,MATCH($C13&amp;T$3,'Tarieven ZM'!$B:$B,0))*J13+K13*INDEX('Tarieven ZM'!$H:$H,MATCH($C13&amp;T$3,'Tarieven ZM'!$B:$B,0))</f>
        <v>15</v>
      </c>
      <c r="U13" s="873">
        <f>INDEX('Tarieven ZM'!$G:$G,MATCH($C13&amp;U$3,'Tarieven ZM'!$B:$B,0))*L13+M13*INDEX('Tarieven ZM'!$H:$H,MATCH($C13&amp;U$3,'Tarieven ZM'!$B:$B,0))</f>
        <v>15</v>
      </c>
      <c r="V13" s="873">
        <f>INDEX('Tarieven ZM'!$G:$G,MATCH($C13&amp;V$3,'Tarieven ZM'!$B:$B,0))*(N13+R13)+(O13+S13)*INDEX('Tarieven ZM'!$H:$H,MATCH($C13&amp;V$3,'Tarieven ZM'!$B:$B,0))</f>
        <v>15</v>
      </c>
      <c r="W13" s="873">
        <f>INDEX('Tarieven ZM'!$G:$G,MATCH($C13&amp;W$3,'Tarieven ZM'!$B:$B,0))*P13+Q13*INDEX('Tarieven ZM'!$H:$H,MATCH($C13&amp;W$3,'Tarieven ZM'!$B:$B,0))</f>
        <v>15</v>
      </c>
      <c r="X13" s="874">
        <f t="shared" ref="X13" si="87">SUM(T13:W13)</f>
        <v>60</v>
      </c>
      <c r="Y13" s="884">
        <f>IF(ISNA(INDEX(Kortingsstaffels!$F:$F,MATCH($I13,Kortingsstaffels!$B:$B,0))),0,INDEX(Kortingsstaffels!$F:$F,MATCH($I13,Kortingsstaffels!$B:$B,0)))</f>
        <v>0</v>
      </c>
      <c r="Z13" s="876">
        <f>IF(ISNA(INDEX(Kortingsstaffels!$G:$G,MATCH($I13,Kortingsstaffels!$B:$B,0))),0,INDEX(Kortingsstaffels!$G:$G,MATCH($I13,Kortingsstaffels!$B:$B,0)))</f>
        <v>0</v>
      </c>
      <c r="AA13" s="876">
        <f>IF(ISNA(INDEX(Kortingsstaffels!$H:$H,MATCH($I13,Kortingsstaffels!$B:$B,0))),0,INDEX(Kortingsstaffels!$H:$H,MATCH($I13,Kortingsstaffels!$B:$B,0)))</f>
        <v>0</v>
      </c>
      <c r="AB13" s="877">
        <f>IF(ISNA(INDEX(Kortingsstaffels!$I:$I,MATCH($I13,Kortingsstaffels!$B:$B,0))),0,INDEX(Kortingsstaffels!$I:$I,MATCH($I13,Kortingsstaffels!$B:$B,0)))</f>
        <v>0</v>
      </c>
      <c r="AC13" s="885">
        <f t="shared" ref="AC13" si="88">T13*(1-Y13)</f>
        <v>15</v>
      </c>
      <c r="AD13" s="495">
        <f t="shared" ref="AD13" si="89">U13*(1-Z13)</f>
        <v>15</v>
      </c>
      <c r="AE13" s="495">
        <f t="shared" ref="AE13" si="90">V13*(1-AA13)</f>
        <v>15</v>
      </c>
      <c r="AF13" s="495">
        <f t="shared" ref="AF13" si="91">W13*(1-AB13)</f>
        <v>15</v>
      </c>
      <c r="AG13" s="879">
        <f t="shared" ref="AG13" si="92">SUM(AC13:AF13)</f>
        <v>60</v>
      </c>
      <c r="AH13" s="886">
        <f>INDEX('Hulpblad inkooptarieven'!$D:$D,MATCH('Rekenblad Verkeer'!$AH$3,'Hulpblad inkooptarieven'!$A:$A,0))*K13</f>
        <v>2.302</v>
      </c>
      <c r="AI13" s="495">
        <f>INDEX('Hulpblad inkooptarieven'!D:D,MATCH('Rekenblad Verkeer'!$AI$3,'Hulpblad inkooptarieven'!$A:$A,0))*M13</f>
        <v>2.4020000000000001</v>
      </c>
      <c r="AJ13" s="495">
        <f>INDEX('Hulpblad inkooptarieven'!D:D,MATCH('Rekenblad Verkeer'!$AJ$3,'Hulpblad inkooptarieven'!$A:$A,0))*(O13+R13)</f>
        <v>5.3746650000000002</v>
      </c>
      <c r="AK13" s="495">
        <f>INDEX('Hulpblad inkooptarieven'!D:D,MATCH('Rekenblad Verkeer'!$AK$3,'Hulpblad inkooptarieven'!$A:$A,0))*Q13</f>
        <v>12.5</v>
      </c>
      <c r="AL13" s="879">
        <f t="shared" ref="AL13" si="93">SUM(AH13:AK13)</f>
        <v>22.578665000000001</v>
      </c>
      <c r="AM13" s="883">
        <f>AG13*Parameters!$B$3</f>
        <v>6</v>
      </c>
      <c r="AN13" s="495">
        <f>IF(LEFT(I13,2)="TZ",(('Vergoedingen grondslag'!$F$20+'Vergoedingen grondslag'!$I$20+'Vergoedingen grondslag'!$L$20+'Vergoedingen grondslag'!$O$20)*AG13)+('Vergoedingen grondslag'!$O$20*0+'Vergoedingen grondslag'!$R$20*0+'Vergoedingen grondslag'!$U$20*0)/Parameters!$B$9,('Vergoedingen grondslag'!$F$11+'Vergoedingen grondslag'!$I$11+'Vergoedingen grondslag'!$L$11+'Vergoedingen grondslag'!$O$11)*AG13)+('Vergoedingen grondslag'!$O$11*0+'Vergoedingen grondslag'!$R$11*0+'Vergoedingen grondslag'!$U$11+'Vergoedingen grondslag'!$X$11)/Parameters!$B$9</f>
        <v>2.4555555555555553</v>
      </c>
      <c r="AO13" s="178"/>
      <c r="AP13" s="874">
        <f t="shared" ref="AP13" si="94">SUM(AM13:AO13)</f>
        <v>8.4555555555555557</v>
      </c>
      <c r="AQ13" s="887">
        <f t="shared" ref="AQ13" si="95">AL13+AP13</f>
        <v>31.034220555555557</v>
      </c>
      <c r="AR13" s="886">
        <f t="shared" ref="AR13" si="96">AG13-AQ13</f>
        <v>28.965779444444443</v>
      </c>
      <c r="AS13" s="876">
        <f t="shared" ref="AS13" si="97">IFERROR(AR13/AG13,"")</f>
        <v>0.48276299074074075</v>
      </c>
      <c r="AT13" s="494" t="b">
        <f t="shared" ref="AT13" si="98">AR13&lt;0</f>
        <v>0</v>
      </c>
      <c r="AU13" s="882" t="s">
        <v>868</v>
      </c>
      <c r="AV13" s="96">
        <v>1</v>
      </c>
    </row>
    <row r="14" spans="1:48" s="96" customFormat="1" ht="14.4">
      <c r="A14" s="869" t="str">
        <f t="shared" ref="A14" si="99">C14&amp;D14&amp;E14&amp;F14&amp;G14</f>
        <v>ZBTCityphone100</v>
      </c>
      <c r="B14" s="494"/>
      <c r="C14" s="493" t="s">
        <v>488</v>
      </c>
      <c r="D14" s="178" t="s">
        <v>520</v>
      </c>
      <c r="E14" s="178"/>
      <c r="F14" s="178">
        <v>100</v>
      </c>
      <c r="G14" s="178"/>
      <c r="H14" s="178" t="str">
        <f t="shared" ref="H14" si="100">C14&amp;D14&amp;E14&amp;F14</f>
        <v>ZBTCityphone100</v>
      </c>
      <c r="I14" s="494" t="str">
        <f t="shared" ref="I14" si="101">C14&amp;E14&amp;G14</f>
        <v>ZBT</v>
      </c>
      <c r="J14" s="870">
        <f>INDEX(Verkeersprofielen!$B:$B,MATCH($H14,Verkeersprofielen!$A:$A,0))</f>
        <v>100</v>
      </c>
      <c r="K14" s="870">
        <f>INDEX(Verkeersprofielen!$C:$C,MATCH($H14,Verkeersprofielen!$A:$A,0))</f>
        <v>100</v>
      </c>
      <c r="L14" s="870">
        <f>INDEX(Verkeersprofielen!$D:$D,MATCH($H14,Verkeersprofielen!$A:$A,0))</f>
        <v>100</v>
      </c>
      <c r="M14" s="870">
        <f>INDEX(Verkeersprofielen!$E:$E,MATCH($H14,Verkeersprofielen!$A:$A,0))</f>
        <v>100</v>
      </c>
      <c r="N14" s="870">
        <f>INDEX(Verkeersprofielen!$F:$F,MATCH($H14,Verkeersprofielen!$A:$A,0))</f>
        <v>100</v>
      </c>
      <c r="O14" s="870">
        <f>INDEX(Verkeersprofielen!$G:$G,MATCH($H14,Verkeersprofielen!$A:$A,0))</f>
        <v>100</v>
      </c>
      <c r="P14" s="870">
        <f>INDEX(Verkeersprofielen!$H:$H,MATCH($H14,Verkeersprofielen!$A:$A,0))</f>
        <v>100</v>
      </c>
      <c r="Q14" s="870">
        <f>INDEX(Verkeersprofielen!$I:$I,MATCH($H14,Verkeersprofielen!$A:$A,0))</f>
        <v>100</v>
      </c>
      <c r="R14" s="870">
        <f>INDEX(Verkeersprofielen!$J:$J,MATCH($H14,Verkeersprofielen!$A:$A,0))</f>
        <v>0</v>
      </c>
      <c r="S14" s="871">
        <f>INDEX(Verkeersprofielen!$K:$K,MATCH($H14,Verkeersprofielen!$A:$A,0))</f>
        <v>0</v>
      </c>
      <c r="T14" s="883">
        <f>INDEX('Tarieven ZM'!$G:$G,MATCH($C14&amp;T$3,'Tarieven ZM'!$B:$B,0))*J14+K14*INDEX('Tarieven ZM'!$H:$H,MATCH($C14&amp;T$3,'Tarieven ZM'!$B:$B,0))</f>
        <v>15</v>
      </c>
      <c r="U14" s="873">
        <f>INDEX('Tarieven ZM'!$G:$G,MATCH($C14&amp;U$3,'Tarieven ZM'!$B:$B,0))*L14+M14*INDEX('Tarieven ZM'!$H:$H,MATCH($C14&amp;U$3,'Tarieven ZM'!$B:$B,0))</f>
        <v>15</v>
      </c>
      <c r="V14" s="873">
        <f>INDEX('Tarieven ZM'!$G:$G,MATCH($C14&amp;V$3,'Tarieven ZM'!$B:$B,0))*(N14+R14)+(O14+S14)*INDEX('Tarieven ZM'!$H:$H,MATCH($C14&amp;V$3,'Tarieven ZM'!$B:$B,0))</f>
        <v>15</v>
      </c>
      <c r="W14" s="873">
        <f>INDEX('Tarieven ZM'!$G:$G,MATCH($C14&amp;W$3,'Tarieven ZM'!$B:$B,0))*P14+Q14*INDEX('Tarieven ZM'!$H:$H,MATCH($C14&amp;W$3,'Tarieven ZM'!$B:$B,0))</f>
        <v>15</v>
      </c>
      <c r="X14" s="874">
        <f t="shared" ref="X14" si="102">SUM(T14:W14)</f>
        <v>60</v>
      </c>
      <c r="Y14" s="884">
        <f>IF(ISNA(INDEX(Kortingsstaffels!$F:$F,MATCH($I14,Kortingsstaffels!$B:$B,0))),0,INDEX(Kortingsstaffels!$F:$F,MATCH($I14,Kortingsstaffels!$B:$B,0)))</f>
        <v>0</v>
      </c>
      <c r="Z14" s="876">
        <f>IF(ISNA(INDEX(Kortingsstaffels!$G:$G,MATCH($I14,Kortingsstaffels!$B:$B,0))),0,INDEX(Kortingsstaffels!$G:$G,MATCH($I14,Kortingsstaffels!$B:$B,0)))</f>
        <v>0</v>
      </c>
      <c r="AA14" s="876">
        <f>IF(ISNA(INDEX(Kortingsstaffels!$H:$H,MATCH($I14,Kortingsstaffels!$B:$B,0))),0,INDEX(Kortingsstaffels!$H:$H,MATCH($I14,Kortingsstaffels!$B:$B,0)))</f>
        <v>0</v>
      </c>
      <c r="AB14" s="877">
        <f>IF(ISNA(INDEX(Kortingsstaffels!$I:$I,MATCH($I14,Kortingsstaffels!$B:$B,0))),0,INDEX(Kortingsstaffels!$I:$I,MATCH($I14,Kortingsstaffels!$B:$B,0)))</f>
        <v>0</v>
      </c>
      <c r="AC14" s="885">
        <f t="shared" ref="AC14" si="103">T14*(1-Y14)</f>
        <v>15</v>
      </c>
      <c r="AD14" s="495">
        <f t="shared" ref="AD14" si="104">U14*(1-Z14)</f>
        <v>15</v>
      </c>
      <c r="AE14" s="495">
        <f t="shared" ref="AE14" si="105">V14*(1-AA14)</f>
        <v>15</v>
      </c>
      <c r="AF14" s="495">
        <f t="shared" ref="AF14" si="106">W14*(1-AB14)</f>
        <v>15</v>
      </c>
      <c r="AG14" s="879">
        <f t="shared" ref="AG14" si="107">SUM(AC14:AF14)</f>
        <v>60</v>
      </c>
      <c r="AH14" s="886">
        <f>INDEX('Hulpblad inkooptarieven'!$D:$D,MATCH('Rekenblad Verkeer'!$AH$3,'Hulpblad inkooptarieven'!$A:$A,0))*K14</f>
        <v>2.302</v>
      </c>
      <c r="AI14" s="495">
        <f>INDEX('Hulpblad inkooptarieven'!D:D,MATCH('Rekenblad Verkeer'!$AI$3,'Hulpblad inkooptarieven'!$A:$A,0))*M14</f>
        <v>2.4020000000000001</v>
      </c>
      <c r="AJ14" s="495">
        <f>INDEX('Hulpblad inkooptarieven'!D:D,MATCH('Rekenblad Verkeer'!$AJ$3,'Hulpblad inkooptarieven'!$A:$A,0))*(O14+R14)</f>
        <v>5.3746650000000002</v>
      </c>
      <c r="AK14" s="495">
        <f>INDEX('Hulpblad inkooptarieven'!D:D,MATCH('Rekenblad Verkeer'!$AK$3,'Hulpblad inkooptarieven'!$A:$A,0))*Q14</f>
        <v>12.5</v>
      </c>
      <c r="AL14" s="879">
        <f t="shared" ref="AL14" si="108">SUM(AH14:AK14)</f>
        <v>22.578665000000001</v>
      </c>
      <c r="AM14" s="883">
        <f>AG14*Parameters!$B$3</f>
        <v>6</v>
      </c>
      <c r="AN14" s="495">
        <f>IF(LEFT(I14,2)="TZ",(('Vergoedingen grondslag'!$F$20+'Vergoedingen grondslag'!$I$20+'Vergoedingen grondslag'!$L$20+'Vergoedingen grondslag'!$O$20)*AG14)+('Vergoedingen grondslag'!$O$20*0+'Vergoedingen grondslag'!$R$20*0+'Vergoedingen grondslag'!$U$20*0)/Parameters!$B$9,('Vergoedingen grondslag'!$F$11+'Vergoedingen grondslag'!$I$11+'Vergoedingen grondslag'!$L$11+'Vergoedingen grondslag'!$O$11)*AG14)+('Vergoedingen grondslag'!$O$11*0+'Vergoedingen grondslag'!$R$11*0+'Vergoedingen grondslag'!$U$11+'Vergoedingen grondslag'!$X$11)/Parameters!$B$9</f>
        <v>2.4555555555555553</v>
      </c>
      <c r="AO14" s="178"/>
      <c r="AP14" s="874">
        <f t="shared" ref="AP14" si="109">SUM(AM14:AO14)</f>
        <v>8.4555555555555557</v>
      </c>
      <c r="AQ14" s="887">
        <f t="shared" ref="AQ14" si="110">AL14+AP14</f>
        <v>31.034220555555557</v>
      </c>
      <c r="AR14" s="886">
        <f t="shared" ref="AR14" si="111">AG14-AQ14</f>
        <v>28.965779444444443</v>
      </c>
      <c r="AS14" s="876">
        <f t="shared" ref="AS14" si="112">IFERROR(AR14/AG14,"")</f>
        <v>0.48276299074074075</v>
      </c>
      <c r="AT14" s="494" t="b">
        <f t="shared" ref="AT14" si="113">AR14&lt;0</f>
        <v>0</v>
      </c>
      <c r="AU14" s="882" t="s">
        <v>868</v>
      </c>
      <c r="AV14" s="96">
        <v>1</v>
      </c>
    </row>
    <row r="15" spans="1:48" s="96" customFormat="1" ht="14.4">
      <c r="A15" s="869" t="str">
        <f t="shared" ref="A15:A17" si="114">C15&amp;D15&amp;E15&amp;F15&amp;G15</f>
        <v>Business Voice Nationaal10</v>
      </c>
      <c r="B15" s="494"/>
      <c r="C15" s="493" t="s">
        <v>492</v>
      </c>
      <c r="D15" s="178"/>
      <c r="E15" s="178">
        <v>10</v>
      </c>
      <c r="F15" s="178"/>
      <c r="G15" s="178"/>
      <c r="H15" s="178" t="str">
        <f t="shared" ref="H15:H17" si="115">C15&amp;D15&amp;E15&amp;F15</f>
        <v>Business Voice Nationaal10</v>
      </c>
      <c r="I15" s="494" t="str">
        <f t="shared" ref="I15:I17" si="116">C15&amp;E15&amp;G15</f>
        <v>Business Voice Nationaal10</v>
      </c>
      <c r="J15" s="870">
        <f>INDEX(Verkeersprofielen!$B:$B,MATCH($H15,Verkeersprofielen!$A:$A,0))</f>
        <v>100</v>
      </c>
      <c r="K15" s="870">
        <f>INDEX(Verkeersprofielen!$C:$C,MATCH($H15,Verkeersprofielen!$A:$A,0))</f>
        <v>100</v>
      </c>
      <c r="L15" s="870">
        <f>INDEX(Verkeersprofielen!$D:$D,MATCH($H15,Verkeersprofielen!$A:$A,0))</f>
        <v>100</v>
      </c>
      <c r="M15" s="870">
        <f>INDEX(Verkeersprofielen!$E:$E,MATCH($H15,Verkeersprofielen!$A:$A,0))</f>
        <v>100</v>
      </c>
      <c r="N15" s="870">
        <f>INDEX(Verkeersprofielen!$F:$F,MATCH($H15,Verkeersprofielen!$A:$A,0))</f>
        <v>100</v>
      </c>
      <c r="O15" s="870">
        <f>INDEX(Verkeersprofielen!$G:$G,MATCH($H15,Verkeersprofielen!$A:$A,0))</f>
        <v>100</v>
      </c>
      <c r="P15" s="870">
        <f>INDEX(Verkeersprofielen!$H:$H,MATCH($H15,Verkeersprofielen!$A:$A,0))</f>
        <v>100</v>
      </c>
      <c r="Q15" s="870">
        <f>INDEX(Verkeersprofielen!$I:$I,MATCH($H15,Verkeersprofielen!$A:$A,0))</f>
        <v>100</v>
      </c>
      <c r="R15" s="870">
        <f>INDEX(Verkeersprofielen!$J:$J,MATCH($H15,Verkeersprofielen!$A:$A,0))</f>
        <v>0</v>
      </c>
      <c r="S15" s="871">
        <f>INDEX(Verkeersprofielen!$K:$K,MATCH($H15,Verkeersprofielen!$A:$A,0))</f>
        <v>0</v>
      </c>
      <c r="T15" s="883">
        <f>INDEX('Tarieven ZM'!$G:$G,MATCH($C15&amp;T$3,'Tarieven ZM'!$B:$B,0))*J15+K15*INDEX('Tarieven ZM'!$H:$H,MATCH($C15&amp;T$3,'Tarieven ZM'!$B:$B,0))</f>
        <v>15</v>
      </c>
      <c r="U15" s="873">
        <f>INDEX('Tarieven ZM'!$G:$G,MATCH($C15&amp;U$3,'Tarieven ZM'!$B:$B,0))*L15+M15*INDEX('Tarieven ZM'!$H:$H,MATCH($C15&amp;U$3,'Tarieven ZM'!$B:$B,0))</f>
        <v>15</v>
      </c>
      <c r="V15" s="873">
        <f>INDEX('Tarieven ZM'!$G:$G,MATCH($C15&amp;V$3,'Tarieven ZM'!$B:$B,0))*(N15+R15)+(O15+S15)*INDEX('Tarieven ZM'!$H:$H,MATCH($C15&amp;V$3,'Tarieven ZM'!$B:$B,0))</f>
        <v>15</v>
      </c>
      <c r="W15" s="873">
        <f>INDEX('Tarieven ZM'!$G:$G,MATCH($C15&amp;W$3,'Tarieven ZM'!$B:$B,0))*P15+Q15*INDEX('Tarieven ZM'!$H:$H,MATCH($C15&amp;W$3,'Tarieven ZM'!$B:$B,0))</f>
        <v>15</v>
      </c>
      <c r="X15" s="874">
        <f t="shared" ref="X15" si="117">SUM(T15:W15)</f>
        <v>60</v>
      </c>
      <c r="Y15" s="884">
        <f>IF(ISNA(INDEX(Kortingsstaffels!$F:$F,MATCH($I15,Kortingsstaffels!$B:$B,0))),0,INDEX(Kortingsstaffels!$F:$F,MATCH($I15,Kortingsstaffels!$B:$B,0)))</f>
        <v>0.1</v>
      </c>
      <c r="Z15" s="876">
        <f>IF(ISNA(INDEX(Kortingsstaffels!$G:$G,MATCH($I15,Kortingsstaffels!$B:$B,0))),0,INDEX(Kortingsstaffels!$G:$G,MATCH($I15,Kortingsstaffels!$B:$B,0)))</f>
        <v>0.1</v>
      </c>
      <c r="AA15" s="876">
        <f>IF(ISNA(INDEX(Kortingsstaffels!$H:$H,MATCH($I15,Kortingsstaffels!$B:$B,0))),0,INDEX(Kortingsstaffels!$H:$H,MATCH($I15,Kortingsstaffels!$B:$B,0)))</f>
        <v>0.05</v>
      </c>
      <c r="AB15" s="877">
        <f>IF(ISNA(INDEX(Kortingsstaffels!$I:$I,MATCH($I15,Kortingsstaffels!$B:$B,0))),0,INDEX(Kortingsstaffels!$I:$I,MATCH($I15,Kortingsstaffels!$B:$B,0)))</f>
        <v>0.05</v>
      </c>
      <c r="AC15" s="885">
        <f t="shared" ref="AC15" si="118">T15*(1-Y15)</f>
        <v>13.5</v>
      </c>
      <c r="AD15" s="495">
        <f t="shared" ref="AD15" si="119">U15*(1-Z15)</f>
        <v>13.5</v>
      </c>
      <c r="AE15" s="495">
        <f t="shared" ref="AE15" si="120">V15*(1-AA15)</f>
        <v>14.25</v>
      </c>
      <c r="AF15" s="495">
        <f t="shared" ref="AF15" si="121">W15*(1-AB15)</f>
        <v>14.25</v>
      </c>
      <c r="AG15" s="879">
        <f t="shared" ref="AG15" si="122">SUM(AC15:AF15)</f>
        <v>55.5</v>
      </c>
      <c r="AH15" s="886">
        <f>INDEX('Hulpblad inkooptarieven'!$D:$D,MATCH('Rekenblad Verkeer'!$AH$3,'Hulpblad inkooptarieven'!$A:$A,0))*K15</f>
        <v>2.302</v>
      </c>
      <c r="AI15" s="495">
        <f>INDEX('Hulpblad inkooptarieven'!D:D,MATCH('Rekenblad Verkeer'!$AI$3,'Hulpblad inkooptarieven'!$A:$A,0))*M15</f>
        <v>2.4020000000000001</v>
      </c>
      <c r="AJ15" s="495">
        <f>INDEX('Hulpblad inkooptarieven'!D:D,MATCH('Rekenblad Verkeer'!$AJ$3,'Hulpblad inkooptarieven'!$A:$A,0))*(O15+R15)</f>
        <v>5.3746650000000002</v>
      </c>
      <c r="AK15" s="495">
        <f>INDEX('Hulpblad inkooptarieven'!D:D,MATCH('Rekenblad Verkeer'!$AK$3,'Hulpblad inkooptarieven'!$A:$A,0))*Q15</f>
        <v>12.5</v>
      </c>
      <c r="AL15" s="879">
        <f t="shared" ref="AL15" si="123">SUM(AH15:AK15)</f>
        <v>22.578665000000001</v>
      </c>
      <c r="AM15" s="883">
        <f>AG15*Parameters!$B$3</f>
        <v>5.5500000000000007</v>
      </c>
      <c r="AN15" s="495">
        <f>IF(LEFT(I15,2)="TZ",(('Vergoedingen grondslag'!$F$20+'Vergoedingen grondslag'!$I$20+'Vergoedingen grondslag'!$L$20+'Vergoedingen grondslag'!$O$20)*AG15)+('Vergoedingen grondslag'!$O$20*0+'Vergoedingen grondslag'!$R$20*0+'Vergoedingen grondslag'!$U$20*0)/Parameters!$B$9,('Vergoedingen grondslag'!$F$11+'Vergoedingen grondslag'!$I$11+'Vergoedingen grondslag'!$L$11+'Vergoedingen grondslag'!$O$11)*AG15)+('Vergoedingen grondslag'!$O$11*0+'Vergoedingen grondslag'!$R$11*0+'Vergoedingen grondslag'!$U$11+'Vergoedingen grondslag'!$X$11)/Parameters!$B$9</f>
        <v>2.2755555555555556</v>
      </c>
      <c r="AO15" s="178"/>
      <c r="AP15" s="874">
        <f t="shared" ref="AP15" si="124">SUM(AM15:AO15)</f>
        <v>7.8255555555555567</v>
      </c>
      <c r="AQ15" s="887">
        <f t="shared" ref="AQ15" si="125">AL15+AP15</f>
        <v>30.404220555555558</v>
      </c>
      <c r="AR15" s="886">
        <f t="shared" ref="AR15" si="126">AG15-AQ15</f>
        <v>25.095779444444442</v>
      </c>
      <c r="AS15" s="876">
        <f t="shared" ref="AS15:AS17" si="127">IFERROR(AR15/AG15,"")</f>
        <v>0.45217620620620619</v>
      </c>
      <c r="AT15" s="494" t="b">
        <f t="shared" ref="AT15:AT17" si="128">AR15&lt;0</f>
        <v>0</v>
      </c>
      <c r="AU15" s="882" t="s">
        <v>868</v>
      </c>
      <c r="AV15" s="96">
        <v>0</v>
      </c>
    </row>
    <row r="16" spans="1:48" s="96" customFormat="1" ht="14.4">
      <c r="A16" s="494" t="str">
        <f t="shared" si="114"/>
        <v>Business Voice Vast Mobiel10</v>
      </c>
      <c r="C16" s="493" t="s">
        <v>504</v>
      </c>
      <c r="E16" s="178">
        <v>10</v>
      </c>
      <c r="H16" s="178" t="str">
        <f t="shared" si="115"/>
        <v>Business Voice Vast Mobiel10</v>
      </c>
      <c r="I16" s="494" t="str">
        <f t="shared" si="116"/>
        <v>Business Voice Vast Mobiel10</v>
      </c>
      <c r="J16" s="870">
        <f>INDEX(Verkeersprofielen!$B:$B,MATCH($H16,Verkeersprofielen!$A:$A,0))</f>
        <v>100</v>
      </c>
      <c r="K16" s="870">
        <f>INDEX(Verkeersprofielen!$C:$C,MATCH($H16,Verkeersprofielen!$A:$A,0))</f>
        <v>100</v>
      </c>
      <c r="L16" s="870">
        <f>INDEX(Verkeersprofielen!$D:$D,MATCH($H16,Verkeersprofielen!$A:$A,0))</f>
        <v>100</v>
      </c>
      <c r="M16" s="870">
        <f>INDEX(Verkeersprofielen!$E:$E,MATCH($H16,Verkeersprofielen!$A:$A,0))</f>
        <v>100</v>
      </c>
      <c r="N16" s="870">
        <f>INDEX(Verkeersprofielen!$F:$F,MATCH($H16,Verkeersprofielen!$A:$A,0))</f>
        <v>100</v>
      </c>
      <c r="O16" s="870">
        <f>INDEX(Verkeersprofielen!$G:$G,MATCH($H16,Verkeersprofielen!$A:$A,0))</f>
        <v>100</v>
      </c>
      <c r="P16" s="870">
        <f>INDEX(Verkeersprofielen!$H:$H,MATCH($H16,Verkeersprofielen!$A:$A,0))</f>
        <v>100</v>
      </c>
      <c r="Q16" s="870">
        <f>INDEX(Verkeersprofielen!$I:$I,MATCH($H16,Verkeersprofielen!$A:$A,0))</f>
        <v>100</v>
      </c>
      <c r="R16" s="870">
        <f>INDEX(Verkeersprofielen!$J:$J,MATCH($H16,Verkeersprofielen!$A:$A,0))</f>
        <v>0</v>
      </c>
      <c r="S16" s="871">
        <f>INDEX(Verkeersprofielen!$K:$K,MATCH($H16,Verkeersprofielen!$A:$A,0))</f>
        <v>0</v>
      </c>
      <c r="T16" s="883">
        <f>INDEX('Tarieven ZM'!$G:$G,MATCH($C16&amp;T$3,'Tarieven ZM'!$B:$B,0))*J16+K16*INDEX('Tarieven ZM'!$H:$H,MATCH($C16&amp;T$3,'Tarieven ZM'!$B:$B,0))</f>
        <v>15</v>
      </c>
      <c r="U16" s="873">
        <f>INDEX('Tarieven ZM'!$G:$G,MATCH($C16&amp;U$3,'Tarieven ZM'!$B:$B,0))*L16+M16*INDEX('Tarieven ZM'!$H:$H,MATCH($C16&amp;U$3,'Tarieven ZM'!$B:$B,0))</f>
        <v>15</v>
      </c>
      <c r="V16" s="873">
        <f>INDEX('Tarieven ZM'!$G:$G,MATCH($C16&amp;V$3,'Tarieven ZM'!$B:$B,0))*(N16+R16)+(O16+S16)*INDEX('Tarieven ZM'!$H:$H,MATCH($C16&amp;V$3,'Tarieven ZM'!$B:$B,0))</f>
        <v>15</v>
      </c>
      <c r="W16" s="873">
        <f>INDEX('Tarieven ZM'!$G:$G,MATCH($C16&amp;W$3,'Tarieven ZM'!$B:$B,0))*P16+Q16*INDEX('Tarieven ZM'!$H:$H,MATCH($C16&amp;W$3,'Tarieven ZM'!$B:$B,0))</f>
        <v>15</v>
      </c>
      <c r="X16" s="874">
        <f t="shared" ref="X16:X17" si="129">SUM(T16:W16)</f>
        <v>60</v>
      </c>
      <c r="Y16" s="884">
        <f>IF(ISNA(INDEX(Kortingsstaffels!$F:$F,MATCH($I16,Kortingsstaffels!$B:$B,0))),0,INDEX(Kortingsstaffels!$F:$F,MATCH($I16,Kortingsstaffels!$B:$B,0)))</f>
        <v>0.05</v>
      </c>
      <c r="Z16" s="876">
        <f>IF(ISNA(INDEX(Kortingsstaffels!$G:$G,MATCH($I16,Kortingsstaffels!$B:$B,0))),0,INDEX(Kortingsstaffels!$G:$G,MATCH($I16,Kortingsstaffels!$B:$B,0)))</f>
        <v>0.05</v>
      </c>
      <c r="AA16" s="876">
        <f>IF(ISNA(INDEX(Kortingsstaffels!$H:$H,MATCH($I16,Kortingsstaffels!$B:$B,0))),0,INDEX(Kortingsstaffels!$H:$H,MATCH($I16,Kortingsstaffels!$B:$B,0)))</f>
        <v>0.1</v>
      </c>
      <c r="AB16" s="877">
        <f>IF(ISNA(INDEX(Kortingsstaffels!$I:$I,MATCH($I16,Kortingsstaffels!$B:$B,0))),0,INDEX(Kortingsstaffels!$I:$I,MATCH($I16,Kortingsstaffels!$B:$B,0)))</f>
        <v>0.05</v>
      </c>
      <c r="AC16" s="885">
        <f t="shared" ref="AC16:AC17" si="130">T16*(1-Y16)</f>
        <v>14.25</v>
      </c>
      <c r="AD16" s="495">
        <f t="shared" ref="AD16:AD17" si="131">U16*(1-Z16)</f>
        <v>14.25</v>
      </c>
      <c r="AE16" s="495">
        <f t="shared" ref="AE16:AE17" si="132">V16*(1-AA16)</f>
        <v>13.5</v>
      </c>
      <c r="AF16" s="495">
        <f t="shared" ref="AF16:AF17" si="133">W16*(1-AB16)</f>
        <v>14.25</v>
      </c>
      <c r="AG16" s="879">
        <f t="shared" ref="AG16:AG17" si="134">SUM(AC16:AF16)</f>
        <v>56.25</v>
      </c>
      <c r="AH16" s="886">
        <f>INDEX('Hulpblad inkooptarieven'!$D:$D,MATCH('Rekenblad Verkeer'!$AH$3,'Hulpblad inkooptarieven'!$A:$A,0))*K16</f>
        <v>2.302</v>
      </c>
      <c r="AI16" s="495">
        <f>INDEX('Hulpblad inkooptarieven'!D:D,MATCH('Rekenblad Verkeer'!$AI$3,'Hulpblad inkooptarieven'!$A:$A,0))*M16</f>
        <v>2.4020000000000001</v>
      </c>
      <c r="AJ16" s="495">
        <f>INDEX('Hulpblad inkooptarieven'!D:D,MATCH('Rekenblad Verkeer'!$AJ$3,'Hulpblad inkooptarieven'!$A:$A,0))*(O16+R16)</f>
        <v>5.3746650000000002</v>
      </c>
      <c r="AK16" s="495">
        <f>INDEX('Hulpblad inkooptarieven'!D:D,MATCH('Rekenblad Verkeer'!$AK$3,'Hulpblad inkooptarieven'!$A:$A,0))*Q16</f>
        <v>12.5</v>
      </c>
      <c r="AL16" s="879">
        <f t="shared" ref="AL16:AL17" si="135">SUM(AH16:AK16)</f>
        <v>22.578665000000001</v>
      </c>
      <c r="AM16" s="883">
        <f>AG16*Parameters!$B$3</f>
        <v>5.625</v>
      </c>
      <c r="AN16" s="888">
        <f>IF(LEFT(I16,2)="TZ",(('Vergoedingen grondslag'!$F$20+'Vergoedingen grondslag'!$I$20+'Vergoedingen grondslag'!$L$20+'Vergoedingen grondslag'!$O$20)*AG16)+('Vergoedingen grondslag'!$O$20*0+'Vergoedingen grondslag'!$R$20*0+'Vergoedingen grondslag'!$U$20*0)/Parameters!$B$9,('Vergoedingen grondslag'!$F$11+'Vergoedingen grondslag'!$I$11+'Vergoedingen grondslag'!$L$11+'Vergoedingen grondslag'!$O$11)*AG16)+('Vergoedingen grondslag'!$O$11*0+'Vergoedingen grondslag'!$R$11*0+'Vergoedingen grondslag'!$U$11+'Vergoedingen grondslag'!$X$11)/Parameters!$B$9</f>
        <v>2.3055555555555554</v>
      </c>
      <c r="AP16" s="874">
        <f t="shared" ref="AP16:AP17" si="136">SUM(AM16:AO16)</f>
        <v>7.9305555555555554</v>
      </c>
      <c r="AQ16" s="887">
        <f t="shared" ref="AQ16:AQ17" si="137">AL16+AP16</f>
        <v>30.509220555555558</v>
      </c>
      <c r="AR16" s="886">
        <f t="shared" ref="AR16:AR17" si="138">AG16-AQ16</f>
        <v>25.740779444444442</v>
      </c>
      <c r="AS16" s="876">
        <f t="shared" si="127"/>
        <v>0.4576138567901234</v>
      </c>
      <c r="AT16" s="494" t="b">
        <f t="shared" si="128"/>
        <v>0</v>
      </c>
      <c r="AU16" s="882" t="s">
        <v>868</v>
      </c>
      <c r="AV16" s="96">
        <v>0</v>
      </c>
    </row>
    <row r="17" spans="1:48" s="96" customFormat="1" ht="14.4">
      <c r="A17" s="494" t="str">
        <f t="shared" si="114"/>
        <v>Business Voice Internationaal10</v>
      </c>
      <c r="B17" s="494"/>
      <c r="C17" s="96" t="s">
        <v>505</v>
      </c>
      <c r="E17" s="178">
        <v>10</v>
      </c>
      <c r="H17" s="178" t="str">
        <f t="shared" si="115"/>
        <v>Business Voice Internationaal10</v>
      </c>
      <c r="I17" s="494" t="str">
        <f t="shared" si="116"/>
        <v>Business Voice Internationaal10</v>
      </c>
      <c r="J17" s="870">
        <f>INDEX(Verkeersprofielen!$B:$B,MATCH($H17,Verkeersprofielen!$A:$A,0))</f>
        <v>100</v>
      </c>
      <c r="K17" s="870">
        <f>INDEX(Verkeersprofielen!$C:$C,MATCH($H17,Verkeersprofielen!$A:$A,0))</f>
        <v>100</v>
      </c>
      <c r="L17" s="870">
        <f>INDEX(Verkeersprofielen!$D:$D,MATCH($H17,Verkeersprofielen!$A:$A,0))</f>
        <v>100</v>
      </c>
      <c r="M17" s="870">
        <f>INDEX(Verkeersprofielen!$E:$E,MATCH($H17,Verkeersprofielen!$A:$A,0))</f>
        <v>100</v>
      </c>
      <c r="N17" s="870">
        <f>INDEX(Verkeersprofielen!$F:$F,MATCH($H17,Verkeersprofielen!$A:$A,0))</f>
        <v>100</v>
      </c>
      <c r="O17" s="870">
        <f>INDEX(Verkeersprofielen!$G:$G,MATCH($H17,Verkeersprofielen!$A:$A,0))</f>
        <v>100</v>
      </c>
      <c r="P17" s="870">
        <f>INDEX(Verkeersprofielen!$H:$H,MATCH($H17,Verkeersprofielen!$A:$A,0))</f>
        <v>100</v>
      </c>
      <c r="Q17" s="870">
        <f>INDEX(Verkeersprofielen!$I:$I,MATCH($H17,Verkeersprofielen!$A:$A,0))</f>
        <v>100</v>
      </c>
      <c r="R17" s="870">
        <f>INDEX(Verkeersprofielen!$J:$J,MATCH($H17,Verkeersprofielen!$A:$A,0))</f>
        <v>0</v>
      </c>
      <c r="S17" s="871">
        <f>INDEX(Verkeersprofielen!$K:$K,MATCH($H17,Verkeersprofielen!$A:$A,0))</f>
        <v>0</v>
      </c>
      <c r="T17" s="883">
        <f>INDEX('Tarieven ZM'!$G:$G,MATCH($C17&amp;T$3,'Tarieven ZM'!$B:$B,0))*J17+K17*INDEX('Tarieven ZM'!$H:$H,MATCH($C17&amp;T$3,'Tarieven ZM'!$B:$B,0))</f>
        <v>15</v>
      </c>
      <c r="U17" s="873">
        <f>INDEX('Tarieven ZM'!$G:$G,MATCH($C17&amp;U$3,'Tarieven ZM'!$B:$B,0))*L17+M17*INDEX('Tarieven ZM'!$H:$H,MATCH($C17&amp;U$3,'Tarieven ZM'!$B:$B,0))</f>
        <v>15</v>
      </c>
      <c r="V17" s="873">
        <f>INDEX('Tarieven ZM'!$G:$G,MATCH($C17&amp;V$3,'Tarieven ZM'!$B:$B,0))*(N17+R17)+(O17+S17)*INDEX('Tarieven ZM'!$H:$H,MATCH($C17&amp;V$3,'Tarieven ZM'!$B:$B,0))</f>
        <v>15</v>
      </c>
      <c r="W17" s="873">
        <f>INDEX('Tarieven ZM'!$G:$G,MATCH($C17&amp;W$3,'Tarieven ZM'!$B:$B,0))*P17+Q17*INDEX('Tarieven ZM'!$H:$H,MATCH($C17&amp;W$3,'Tarieven ZM'!$B:$B,0))</f>
        <v>15</v>
      </c>
      <c r="X17" s="874">
        <f t="shared" si="129"/>
        <v>60</v>
      </c>
      <c r="Y17" s="884">
        <f>IF(ISNA(INDEX(Kortingsstaffels!$F:$F,MATCH($I17,Kortingsstaffels!$B:$B,0))),0,INDEX(Kortingsstaffels!$F:$F,MATCH($I17,Kortingsstaffels!$B:$B,0)))</f>
        <v>0.05</v>
      </c>
      <c r="Z17" s="876">
        <f>IF(ISNA(INDEX(Kortingsstaffels!$G:$G,MATCH($I17,Kortingsstaffels!$B:$B,0))),0,INDEX(Kortingsstaffels!$G:$G,MATCH($I17,Kortingsstaffels!$B:$B,0)))</f>
        <v>0.05</v>
      </c>
      <c r="AA17" s="876">
        <f>IF(ISNA(INDEX(Kortingsstaffels!$H:$H,MATCH($I17,Kortingsstaffels!$B:$B,0))),0,INDEX(Kortingsstaffels!$H:$H,MATCH($I17,Kortingsstaffels!$B:$B,0)))</f>
        <v>0.05</v>
      </c>
      <c r="AB17" s="877">
        <f>IF(ISNA(INDEX(Kortingsstaffels!$I:$I,MATCH($I17,Kortingsstaffels!$B:$B,0))),0,INDEX(Kortingsstaffels!$I:$I,MATCH($I17,Kortingsstaffels!$B:$B,0)))</f>
        <v>0.1</v>
      </c>
      <c r="AC17" s="885">
        <f t="shared" si="130"/>
        <v>14.25</v>
      </c>
      <c r="AD17" s="495">
        <f t="shared" si="131"/>
        <v>14.25</v>
      </c>
      <c r="AE17" s="495">
        <f t="shared" si="132"/>
        <v>14.25</v>
      </c>
      <c r="AF17" s="495">
        <f t="shared" si="133"/>
        <v>13.5</v>
      </c>
      <c r="AG17" s="879">
        <f t="shared" si="134"/>
        <v>56.25</v>
      </c>
      <c r="AH17" s="886">
        <f>INDEX('Hulpblad inkooptarieven'!$D:$D,MATCH('Rekenblad Verkeer'!$AH$3,'Hulpblad inkooptarieven'!$A:$A,0))*K17</f>
        <v>2.302</v>
      </c>
      <c r="AI17" s="495">
        <f>INDEX('Hulpblad inkooptarieven'!D:D,MATCH('Rekenblad Verkeer'!$AI$3,'Hulpblad inkooptarieven'!$A:$A,0))*M17</f>
        <v>2.4020000000000001</v>
      </c>
      <c r="AJ17" s="495">
        <f>INDEX('Hulpblad inkooptarieven'!D:D,MATCH('Rekenblad Verkeer'!$AJ$3,'Hulpblad inkooptarieven'!$A:$A,0))*(O17+R17)</f>
        <v>5.3746650000000002</v>
      </c>
      <c r="AK17" s="495">
        <f>INDEX('Hulpblad inkooptarieven'!D:D,MATCH('Rekenblad Verkeer'!$AK$3,'Hulpblad inkooptarieven'!$A:$A,0))*Q17</f>
        <v>12.5</v>
      </c>
      <c r="AL17" s="879">
        <f t="shared" si="135"/>
        <v>22.578665000000001</v>
      </c>
      <c r="AM17" s="883">
        <f>AG17*Parameters!$B$3</f>
        <v>5.625</v>
      </c>
      <c r="AN17" s="888">
        <f>IF(LEFT(I17,2)="TZ",(('Vergoedingen grondslag'!$F$20+'Vergoedingen grondslag'!$I$20+'Vergoedingen grondslag'!$L$20+'Vergoedingen grondslag'!$O$20)*AG17)+('Vergoedingen grondslag'!$O$20*0+'Vergoedingen grondslag'!$R$20*0+'Vergoedingen grondslag'!$U$20*0)/Parameters!$B$9,('Vergoedingen grondslag'!$F$11+'Vergoedingen grondslag'!$I$11+'Vergoedingen grondslag'!$L$11+'Vergoedingen grondslag'!$O$11)*AG17)+('Vergoedingen grondslag'!$O$11*0+'Vergoedingen grondslag'!$R$11*0+'Vergoedingen grondslag'!$U$11+'Vergoedingen grondslag'!$X$11)/Parameters!$B$9</f>
        <v>2.3055555555555554</v>
      </c>
      <c r="AP17" s="874">
        <f t="shared" si="136"/>
        <v>7.9305555555555554</v>
      </c>
      <c r="AQ17" s="887">
        <f t="shared" si="137"/>
        <v>30.509220555555558</v>
      </c>
      <c r="AR17" s="886">
        <f t="shared" si="138"/>
        <v>25.740779444444442</v>
      </c>
      <c r="AS17" s="876">
        <f t="shared" si="127"/>
        <v>0.4576138567901234</v>
      </c>
      <c r="AT17" s="494" t="b">
        <f t="shared" si="128"/>
        <v>0</v>
      </c>
      <c r="AU17" s="882" t="s">
        <v>868</v>
      </c>
      <c r="AV17" s="96">
        <v>0</v>
      </c>
    </row>
    <row r="18" spans="1:48" s="96" customFormat="1" ht="14.4">
      <c r="A18" s="494" t="str">
        <f t="shared" ref="A18:A30" si="139">C18&amp;D18&amp;E18&amp;F18&amp;G18</f>
        <v>Business Voice Zakelijk Glas</v>
      </c>
      <c r="B18" s="494"/>
      <c r="C18" s="96" t="s">
        <v>434</v>
      </c>
      <c r="E18" s="178"/>
      <c r="H18" s="178" t="str">
        <f t="shared" ref="H18:H31" si="140">C18&amp;D18&amp;E18&amp;F18</f>
        <v>Business Voice Zakelijk Glas</v>
      </c>
      <c r="I18" s="494" t="str">
        <f t="shared" ref="I18:I27" si="141">C18&amp;E18&amp;G18</f>
        <v>Business Voice Zakelijk Glas</v>
      </c>
      <c r="J18" s="870">
        <f>INDEX(Verkeersprofielen!$B:$B,MATCH($H18,Verkeersprofielen!$A:$A,0))</f>
        <v>100</v>
      </c>
      <c r="K18" s="870">
        <f>INDEX(Verkeersprofielen!$C:$C,MATCH($H18,Verkeersprofielen!$A:$A,0))</f>
        <v>100</v>
      </c>
      <c r="L18" s="870">
        <f>INDEX(Verkeersprofielen!$D:$D,MATCH($H18,Verkeersprofielen!$A:$A,0))</f>
        <v>100</v>
      </c>
      <c r="M18" s="870">
        <f>INDEX(Verkeersprofielen!$E:$E,MATCH($H18,Verkeersprofielen!$A:$A,0))</f>
        <v>100</v>
      </c>
      <c r="N18" s="870">
        <f>INDEX(Verkeersprofielen!$F:$F,MATCH($H18,Verkeersprofielen!$A:$A,0))</f>
        <v>100</v>
      </c>
      <c r="O18" s="870">
        <f>INDEX(Verkeersprofielen!$G:$G,MATCH($H18,Verkeersprofielen!$A:$A,0))</f>
        <v>100</v>
      </c>
      <c r="P18" s="870">
        <f>INDEX(Verkeersprofielen!$H:$H,MATCH($H18,Verkeersprofielen!$A:$A,0))</f>
        <v>100</v>
      </c>
      <c r="Q18" s="870">
        <f>INDEX(Verkeersprofielen!$I:$I,MATCH($H18,Verkeersprofielen!$A:$A,0))</f>
        <v>100</v>
      </c>
      <c r="R18" s="870">
        <f>INDEX(Verkeersprofielen!$J:$J,MATCH($H18,Verkeersprofielen!$A:$A,0))</f>
        <v>0</v>
      </c>
      <c r="S18" s="871">
        <f>INDEX(Verkeersprofielen!$K:$K,MATCH($H18,Verkeersprofielen!$A:$A,0))</f>
        <v>0</v>
      </c>
      <c r="T18" s="883">
        <f>INDEX('Tarieven ZM'!$G:$G,MATCH($C18&amp;T$3,'Tarieven ZM'!$B:$B,0))*J18+K18*INDEX('Tarieven ZM'!$H:$H,MATCH($C18&amp;T$3,'Tarieven ZM'!$B:$B,0))</f>
        <v>15</v>
      </c>
      <c r="U18" s="873">
        <f>INDEX('Tarieven ZM'!$G:$G,MATCH($C18&amp;U$3,'Tarieven ZM'!$B:$B,0))*L18+M18*INDEX('Tarieven ZM'!$H:$H,MATCH($C18&amp;U$3,'Tarieven ZM'!$B:$B,0))</f>
        <v>15</v>
      </c>
      <c r="V18" s="873">
        <f>INDEX('Tarieven ZM'!$G:$G,MATCH($C18&amp;V$3,'Tarieven ZM'!$B:$B,0))*(N18+R18)+(O18+S18)*INDEX('Tarieven ZM'!$H:$H,MATCH($C18&amp;V$3,'Tarieven ZM'!$B:$B,0))</f>
        <v>15</v>
      </c>
      <c r="W18" s="873">
        <f>INDEX('Tarieven ZM'!$G:$G,MATCH($C18&amp;W$3,'Tarieven ZM'!$B:$B,0))*P18+Q18*INDEX('Tarieven ZM'!$H:$H,MATCH($C18&amp;W$3,'Tarieven ZM'!$B:$B,0))</f>
        <v>15</v>
      </c>
      <c r="X18" s="874">
        <f t="shared" ref="X18:X24" si="142">SUM(T18:W18)</f>
        <v>60</v>
      </c>
      <c r="Y18" s="884">
        <f>IF(ISNA(INDEX(Kortingsstaffels!$F:$F,MATCH($I18,Kortingsstaffels!$B:$B,0))),0,INDEX(Kortingsstaffels!$F:$F,MATCH($I18,Kortingsstaffels!$B:$B,0)))</f>
        <v>0.1</v>
      </c>
      <c r="Z18" s="876">
        <f>IF(ISNA(INDEX(Kortingsstaffels!$G:$G,MATCH($I18,Kortingsstaffels!$B:$B,0))),0,INDEX(Kortingsstaffels!$G:$G,MATCH($I18,Kortingsstaffels!$B:$B,0)))</f>
        <v>0.1</v>
      </c>
      <c r="AA18" s="876">
        <f>IF(ISNA(INDEX(Kortingsstaffels!$H:$H,MATCH($I18,Kortingsstaffels!$B:$B,0))),0,INDEX(Kortingsstaffels!$H:$H,MATCH($I18,Kortingsstaffels!$B:$B,0)))</f>
        <v>0.1</v>
      </c>
      <c r="AB18" s="877">
        <f>IF(ISNA(INDEX(Kortingsstaffels!$I:$I,MATCH($I18,Kortingsstaffels!$B:$B,0))),0,INDEX(Kortingsstaffels!$I:$I,MATCH($I18,Kortingsstaffels!$B:$B,0)))</f>
        <v>0.1</v>
      </c>
      <c r="AC18" s="885">
        <f t="shared" ref="AC18:AF24" si="143">T18*(1-Y18)</f>
        <v>13.5</v>
      </c>
      <c r="AD18" s="495">
        <f t="shared" si="143"/>
        <v>13.5</v>
      </c>
      <c r="AE18" s="495">
        <f t="shared" si="143"/>
        <v>13.5</v>
      </c>
      <c r="AF18" s="495">
        <f t="shared" si="143"/>
        <v>13.5</v>
      </c>
      <c r="AG18" s="879">
        <f t="shared" ref="AG18:AG24" si="144">SUM(AC18:AF18)</f>
        <v>54</v>
      </c>
      <c r="AH18" s="886">
        <f>INDEX('Hulpblad inkooptarieven'!$D:$D,MATCH('Rekenblad Verkeer'!$AH$3,'Hulpblad inkooptarieven'!$A:$A,0))*K18</f>
        <v>2.302</v>
      </c>
      <c r="AI18" s="495">
        <f>INDEX('Hulpblad inkooptarieven'!D:D,MATCH('Rekenblad Verkeer'!$AI$3,'Hulpblad inkooptarieven'!$A:$A,0))*M18</f>
        <v>2.4020000000000001</v>
      </c>
      <c r="AJ18" s="495">
        <f>INDEX('Hulpblad inkooptarieven'!D:D,MATCH('Rekenblad Verkeer'!$AJ$3,'Hulpblad inkooptarieven'!$A:$A,0))*(O18+R18)</f>
        <v>5.3746650000000002</v>
      </c>
      <c r="AK18" s="495">
        <f>INDEX('Hulpblad inkooptarieven'!D:D,MATCH('Rekenblad Verkeer'!$AK$3,'Hulpblad inkooptarieven'!$A:$A,0))*Q18</f>
        <v>12.5</v>
      </c>
      <c r="AL18" s="879">
        <f t="shared" ref="AL18:AL24" si="145">SUM(AH18:AK18)</f>
        <v>22.578665000000001</v>
      </c>
      <c r="AM18" s="883">
        <f>AG18*Parameters!$B$3</f>
        <v>5.4</v>
      </c>
      <c r="AN18" s="888">
        <f>IF(LEFT(I18,2)="TZ",(('Vergoedingen grondslag'!$F$20+'Vergoedingen grondslag'!$I$20+'Vergoedingen grondslag'!$L$20+'Vergoedingen grondslag'!$O$20)*AG18)+('Vergoedingen grondslag'!$O$20*0+'Vergoedingen grondslag'!$R$20*0+'Vergoedingen grondslag'!$U$20*0)/Parameters!$B$9,('Vergoedingen grondslag'!$F$11+'Vergoedingen grondslag'!$I$11+'Vergoedingen grondslag'!$L$11+'Vergoedingen grondslag'!$O$11)*AG18)+('Vergoedingen grondslag'!$O$11*0+'Vergoedingen grondslag'!$R$11*0+'Vergoedingen grondslag'!$U$11+'Vergoedingen grondslag'!$X$11)/Parameters!$B$9</f>
        <v>2.2155555555555555</v>
      </c>
      <c r="AP18" s="874">
        <f t="shared" ref="AP18:AP24" si="146">SUM(AM18:AO18)</f>
        <v>7.6155555555555559</v>
      </c>
      <c r="AQ18" s="887">
        <f t="shared" ref="AQ18:AQ24" si="147">AL18+AP18</f>
        <v>30.194220555555557</v>
      </c>
      <c r="AR18" s="886">
        <f t="shared" ref="AR18:AR25" si="148">AG18-AQ18</f>
        <v>23.805779444444443</v>
      </c>
      <c r="AS18" s="876">
        <f t="shared" ref="AS18:AS30" si="149">IFERROR(AR18/AG18,"")</f>
        <v>0.44084776748971194</v>
      </c>
      <c r="AT18" s="494" t="b">
        <f t="shared" ref="AT18:AT30" si="150">AR18&lt;0</f>
        <v>0</v>
      </c>
      <c r="AU18" s="882" t="s">
        <v>868</v>
      </c>
      <c r="AV18" s="96">
        <v>0</v>
      </c>
    </row>
    <row r="19" spans="1:48" s="96" customFormat="1" ht="14.4">
      <c r="A19" s="494" t="str">
        <f t="shared" si="139"/>
        <v>CSO</v>
      </c>
      <c r="B19" s="494"/>
      <c r="C19" s="96" t="s">
        <v>599</v>
      </c>
      <c r="E19" s="178"/>
      <c r="H19" s="178" t="str">
        <f t="shared" si="140"/>
        <v>CSO</v>
      </c>
      <c r="I19" s="494" t="str">
        <f t="shared" si="141"/>
        <v>CSO</v>
      </c>
      <c r="J19" s="870">
        <f>INDEX(Verkeersprofielen!$B:$B,MATCH($H19,Verkeersprofielen!$A:$A,0))</f>
        <v>100</v>
      </c>
      <c r="K19" s="870">
        <f>INDEX(Verkeersprofielen!$C:$C,MATCH($H19,Verkeersprofielen!$A:$A,0))</f>
        <v>100</v>
      </c>
      <c r="L19" s="870">
        <f>INDEX(Verkeersprofielen!$D:$D,MATCH($H19,Verkeersprofielen!$A:$A,0))</f>
        <v>100</v>
      </c>
      <c r="M19" s="870">
        <f>INDEX(Verkeersprofielen!$E:$E,MATCH($H19,Verkeersprofielen!$A:$A,0))</f>
        <v>100</v>
      </c>
      <c r="N19" s="870">
        <f>INDEX(Verkeersprofielen!$F:$F,MATCH($H19,Verkeersprofielen!$A:$A,0))</f>
        <v>100</v>
      </c>
      <c r="O19" s="870">
        <f>INDEX(Verkeersprofielen!$G:$G,MATCH($H19,Verkeersprofielen!$A:$A,0))</f>
        <v>100</v>
      </c>
      <c r="P19" s="870">
        <f>INDEX(Verkeersprofielen!$H:$H,MATCH($H19,Verkeersprofielen!$A:$A,0))</f>
        <v>100</v>
      </c>
      <c r="Q19" s="870">
        <f>INDEX(Verkeersprofielen!$I:$I,MATCH($H19,Verkeersprofielen!$A:$A,0))</f>
        <v>100</v>
      </c>
      <c r="R19" s="870">
        <f>INDEX(Verkeersprofielen!$J:$J,MATCH($H19,Verkeersprofielen!$A:$A,0))</f>
        <v>0</v>
      </c>
      <c r="S19" s="871">
        <f>INDEX(Verkeersprofielen!$K:$K,MATCH($H19,Verkeersprofielen!$A:$A,0))</f>
        <v>0</v>
      </c>
      <c r="T19" s="883">
        <f>INDEX('Tarieven ZM'!$G:$G,MATCH($C19&amp;T$3,'Tarieven ZM'!$B:$B,0))*J19+K19*INDEX('Tarieven ZM'!$H:$H,MATCH($C19&amp;T$3,'Tarieven ZM'!$B:$B,0))</f>
        <v>15</v>
      </c>
      <c r="U19" s="873">
        <f>INDEX('Tarieven ZM'!$G:$G,MATCH($C19&amp;U$3,'Tarieven ZM'!$B:$B,0))*L19+M19*INDEX('Tarieven ZM'!$H:$H,MATCH($C19&amp;U$3,'Tarieven ZM'!$B:$B,0))</f>
        <v>15</v>
      </c>
      <c r="V19" s="873">
        <f>INDEX('Tarieven ZM'!$G:$G,MATCH($C19&amp;V$3,'Tarieven ZM'!$B:$B,0))*(N19+R19)+(O19+S19)*INDEX('Tarieven ZM'!$H:$H,MATCH($C19&amp;V$3,'Tarieven ZM'!$B:$B,0))</f>
        <v>15</v>
      </c>
      <c r="W19" s="873">
        <f>INDEX('Tarieven ZM'!$G:$G,MATCH($C19&amp;W$3,'Tarieven ZM'!$B:$B,0))*P19+Q19*INDEX('Tarieven ZM'!$H:$H,MATCH($C19&amp;W$3,'Tarieven ZM'!$B:$B,0))</f>
        <v>15</v>
      </c>
      <c r="X19" s="874">
        <f t="shared" si="142"/>
        <v>60</v>
      </c>
      <c r="Y19" s="884">
        <f>IF(ISNA(INDEX(Kortingsstaffels!$F:$F,MATCH($I19,Kortingsstaffels!$B:$B,0))),0,INDEX(Kortingsstaffels!$F:$F,MATCH($I19,Kortingsstaffels!$B:$B,0)))</f>
        <v>0.1</v>
      </c>
      <c r="Z19" s="876">
        <f>IF(ISNA(INDEX(Kortingsstaffels!$G:$G,MATCH($I19,Kortingsstaffels!$B:$B,0))),0,INDEX(Kortingsstaffels!$G:$G,MATCH($I19,Kortingsstaffels!$B:$B,0)))</f>
        <v>0.1</v>
      </c>
      <c r="AA19" s="876">
        <f>IF(ISNA(INDEX(Kortingsstaffels!$H:$H,MATCH($I19,Kortingsstaffels!$B:$B,0))),0,INDEX(Kortingsstaffels!$H:$H,MATCH($I19,Kortingsstaffels!$B:$B,0)))</f>
        <v>0.1</v>
      </c>
      <c r="AB19" s="877">
        <f>IF(ISNA(INDEX(Kortingsstaffels!$I:$I,MATCH($I19,Kortingsstaffels!$B:$B,0))),0,INDEX(Kortingsstaffels!$I:$I,MATCH($I19,Kortingsstaffels!$B:$B,0)))</f>
        <v>0.2</v>
      </c>
      <c r="AC19" s="885">
        <f t="shared" si="143"/>
        <v>13.5</v>
      </c>
      <c r="AD19" s="495">
        <f t="shared" si="143"/>
        <v>13.5</v>
      </c>
      <c r="AE19" s="495">
        <f t="shared" si="143"/>
        <v>13.5</v>
      </c>
      <c r="AF19" s="495">
        <f t="shared" si="143"/>
        <v>12</v>
      </c>
      <c r="AG19" s="879">
        <f t="shared" si="144"/>
        <v>52.5</v>
      </c>
      <c r="AH19" s="886">
        <f>INDEX('Hulpblad inkooptarieven'!$D:$D,MATCH('Rekenblad Verkeer'!$AH$3,'Hulpblad inkooptarieven'!$A:$A,0))*K19</f>
        <v>2.302</v>
      </c>
      <c r="AI19" s="495">
        <f>INDEX('Hulpblad inkooptarieven'!D:D,MATCH('Rekenblad Verkeer'!$AI$3,'Hulpblad inkooptarieven'!$A:$A,0))*M19</f>
        <v>2.4020000000000001</v>
      </c>
      <c r="AJ19" s="495">
        <f>INDEX('Hulpblad inkooptarieven'!D:D,MATCH('Rekenblad Verkeer'!$AJ$3,'Hulpblad inkooptarieven'!$A:$A,0))*(O19+R19)</f>
        <v>5.3746650000000002</v>
      </c>
      <c r="AK19" s="495">
        <f>INDEX('Hulpblad inkooptarieven'!D:D,MATCH('Rekenblad Verkeer'!$AK$3,'Hulpblad inkooptarieven'!$A:$A,0))*Q19</f>
        <v>12.5</v>
      </c>
      <c r="AL19" s="879">
        <f t="shared" si="145"/>
        <v>22.578665000000001</v>
      </c>
      <c r="AM19" s="883">
        <f>AG19*Parameters!$B$3</f>
        <v>5.25</v>
      </c>
      <c r="AN19" s="888">
        <f>IF(LEFT(I19,2)="TZ",(('Vergoedingen grondslag'!$F$20+'Vergoedingen grondslag'!$I$20+'Vergoedingen grondslag'!$L$20+'Vergoedingen grondslag'!$O$20)*AG19)+('Vergoedingen grondslag'!$O$20*0+'Vergoedingen grondslag'!$R$20*0+'Vergoedingen grondslag'!$U$20*0)/Parameters!$B$9,('Vergoedingen grondslag'!$F$11+'Vergoedingen grondslag'!$I$11+'Vergoedingen grondslag'!$L$11+'Vergoedingen grondslag'!$O$11)*AG19)+('Vergoedingen grondslag'!$O$11*0+'Vergoedingen grondslag'!$R$11*0+'Vergoedingen grondslag'!$U$11+'Vergoedingen grondslag'!$X$11)/Parameters!$B$9</f>
        <v>2.1555555555555554</v>
      </c>
      <c r="AP19" s="874">
        <f t="shared" si="146"/>
        <v>7.405555555555555</v>
      </c>
      <c r="AQ19" s="887">
        <f t="shared" si="147"/>
        <v>29.984220555555556</v>
      </c>
      <c r="AR19" s="886">
        <f t="shared" si="148"/>
        <v>22.515779444444444</v>
      </c>
      <c r="AS19" s="876">
        <f t="shared" si="149"/>
        <v>0.42887198941798943</v>
      </c>
      <c r="AT19" s="494" t="b">
        <f t="shared" si="150"/>
        <v>0</v>
      </c>
      <c r="AU19" s="882" t="s">
        <v>868</v>
      </c>
      <c r="AV19" s="96">
        <v>0</v>
      </c>
    </row>
    <row r="20" spans="1:48" s="96" customFormat="1" ht="14.4">
      <c r="A20" s="494" t="str">
        <f t="shared" si="139"/>
        <v>Zakelijk BelBasisgeneriek nationaal</v>
      </c>
      <c r="B20" s="494"/>
      <c r="C20" s="96" t="s">
        <v>19</v>
      </c>
      <c r="E20" s="96" t="s">
        <v>522</v>
      </c>
      <c r="H20" s="178" t="str">
        <f t="shared" si="140"/>
        <v>Zakelijk BelBasisgeneriek nationaal</v>
      </c>
      <c r="I20" s="494" t="str">
        <f t="shared" si="141"/>
        <v>Zakelijk BelBasisgeneriek nationaal</v>
      </c>
      <c r="J20" s="870">
        <f>INDEX(Verkeersprofielen!$B:$B,MATCH($H20,Verkeersprofielen!$A:$A,0))</f>
        <v>100</v>
      </c>
      <c r="K20" s="870">
        <f>INDEX(Verkeersprofielen!$C:$C,MATCH($H20,Verkeersprofielen!$A:$A,0))</f>
        <v>100</v>
      </c>
      <c r="L20" s="870">
        <f>INDEX(Verkeersprofielen!$D:$D,MATCH($H20,Verkeersprofielen!$A:$A,0))</f>
        <v>100</v>
      </c>
      <c r="M20" s="870">
        <f>INDEX(Verkeersprofielen!$E:$E,MATCH($H20,Verkeersprofielen!$A:$A,0))</f>
        <v>100</v>
      </c>
      <c r="N20" s="870">
        <f>INDEX(Verkeersprofielen!$F:$F,MATCH($H20,Verkeersprofielen!$A:$A,0))</f>
        <v>0</v>
      </c>
      <c r="O20" s="870">
        <f>INDEX(Verkeersprofielen!$G:$G,MATCH($H20,Verkeersprofielen!$A:$A,0))</f>
        <v>0</v>
      </c>
      <c r="P20" s="870">
        <f>INDEX(Verkeersprofielen!$H:$H,MATCH($H20,Verkeersprofielen!$A:$A,0))</f>
        <v>0</v>
      </c>
      <c r="Q20" s="870">
        <f>INDEX(Verkeersprofielen!$I:$I,MATCH($H20,Verkeersprofielen!$A:$A,0))</f>
        <v>0</v>
      </c>
      <c r="R20" s="870">
        <f>INDEX(Verkeersprofielen!$J:$J,MATCH($H20,Verkeersprofielen!$A:$A,0))</f>
        <v>0</v>
      </c>
      <c r="S20" s="871">
        <f>INDEX(Verkeersprofielen!$K:$K,MATCH($H20,Verkeersprofielen!$A:$A,0))</f>
        <v>0</v>
      </c>
      <c r="T20" s="883">
        <f>INDEX('Tarieven ZM'!$G:$G,MATCH($C20&amp;T$3,'Tarieven ZM'!$B:$B,0))*J20+K20*INDEX('Tarieven ZM'!$H:$H,MATCH($C20&amp;T$3,'Tarieven ZM'!$B:$B,0))</f>
        <v>15</v>
      </c>
      <c r="U20" s="873">
        <f>INDEX('Tarieven ZM'!$G:$G,MATCH($C20&amp;U$3,'Tarieven ZM'!$B:$B,0))*L20+M20*INDEX('Tarieven ZM'!$H:$H,MATCH($C20&amp;U$3,'Tarieven ZM'!$B:$B,0))</f>
        <v>15</v>
      </c>
      <c r="V20" s="873">
        <f>INDEX('Tarieven ZM'!$G:$G,MATCH($C20&amp;V$3,'Tarieven ZM'!$B:$B,0))*(N20+R20)+(O20+S20)*INDEX('Tarieven ZM'!$H:$H,MATCH($C20&amp;V$3,'Tarieven ZM'!$B:$B,0))</f>
        <v>0</v>
      </c>
      <c r="W20" s="873">
        <f>INDEX('Tarieven ZM'!$G:$G,MATCH($C20&amp;W$3,'Tarieven ZM'!$B:$B,0))*P20+Q20*INDEX('Tarieven ZM'!$H:$H,MATCH($C20&amp;W$3,'Tarieven ZM'!$B:$B,0))</f>
        <v>0</v>
      </c>
      <c r="X20" s="874">
        <f t="shared" si="142"/>
        <v>30</v>
      </c>
      <c r="Y20" s="884">
        <f>IF(ISNA(INDEX(Kortingsstaffels!$F:$F,MATCH($I20,Kortingsstaffels!$B:$B,0))),0,INDEX(Kortingsstaffels!$F:$F,MATCH($I20,Kortingsstaffels!$B:$B,0)))</f>
        <v>0</v>
      </c>
      <c r="Z20" s="876">
        <f>IF(ISNA(INDEX(Kortingsstaffels!$G:$G,MATCH($I20,Kortingsstaffels!$B:$B,0))),0,INDEX(Kortingsstaffels!$G:$G,MATCH($I20,Kortingsstaffels!$B:$B,0)))</f>
        <v>0</v>
      </c>
      <c r="AA20" s="876">
        <f>IF(ISNA(INDEX(Kortingsstaffels!$H:$H,MATCH($I20,Kortingsstaffels!$B:$B,0))),0,INDEX(Kortingsstaffels!$H:$H,MATCH($I20,Kortingsstaffels!$B:$B,0)))</f>
        <v>0</v>
      </c>
      <c r="AB20" s="877">
        <f>IF(ISNA(INDEX(Kortingsstaffels!$I:$I,MATCH($I20,Kortingsstaffels!$B:$B,0))),0,INDEX(Kortingsstaffels!$I:$I,MATCH($I20,Kortingsstaffels!$B:$B,0)))</f>
        <v>0</v>
      </c>
      <c r="AC20" s="885">
        <f t="shared" si="143"/>
        <v>15</v>
      </c>
      <c r="AD20" s="495">
        <f t="shared" si="143"/>
        <v>15</v>
      </c>
      <c r="AE20" s="495">
        <f t="shared" si="143"/>
        <v>0</v>
      </c>
      <c r="AF20" s="495">
        <f t="shared" si="143"/>
        <v>0</v>
      </c>
      <c r="AG20" s="879">
        <f t="shared" si="144"/>
        <v>30</v>
      </c>
      <c r="AH20" s="886">
        <f>INDEX('Hulpblad inkooptarieven'!$D:$D,MATCH('Rekenblad Verkeer'!$AH$3,'Hulpblad inkooptarieven'!$A:$A,0))*K20</f>
        <v>2.302</v>
      </c>
      <c r="AI20" s="495">
        <f>INDEX('Hulpblad inkooptarieven'!D:D,MATCH('Rekenblad Verkeer'!$AI$3,'Hulpblad inkooptarieven'!$A:$A,0))*M20</f>
        <v>2.4020000000000001</v>
      </c>
      <c r="AJ20" s="495">
        <f>INDEX('Hulpblad inkooptarieven'!D:D,MATCH('Rekenblad Verkeer'!$AJ$3,'Hulpblad inkooptarieven'!$A:$A,0))*(O20+R20)</f>
        <v>0</v>
      </c>
      <c r="AK20" s="495">
        <f>INDEX('Hulpblad inkooptarieven'!D:D,MATCH('Rekenblad Verkeer'!$AK$3,'Hulpblad inkooptarieven'!$A:$A,0))*Q20</f>
        <v>0</v>
      </c>
      <c r="AL20" s="879">
        <f t="shared" si="145"/>
        <v>4.7040000000000006</v>
      </c>
      <c r="AM20" s="883">
        <f>AG20*Parameters!$B$3</f>
        <v>3</v>
      </c>
      <c r="AN20" s="888">
        <f>IF(LEFT(I20,2)="TZ",(('Vergoedingen grondslag'!$F$20+'Vergoedingen grondslag'!$I$20+'Vergoedingen grondslag'!$L$20+'Vergoedingen grondslag'!$O$20)*AG20)+('Vergoedingen grondslag'!$O$20*0+'Vergoedingen grondslag'!$R$20*0+'Vergoedingen grondslag'!$U$20*0)/Parameters!$B$9,('Vergoedingen grondslag'!$F$11+'Vergoedingen grondslag'!$I$11+'Vergoedingen grondslag'!$L$11+'Vergoedingen grondslag'!$O$11)*AG20)+('Vergoedingen grondslag'!$O$11*0+'Vergoedingen grondslag'!$R$11*0+'Vergoedingen grondslag'!$U$11+'Vergoedingen grondslag'!$X$11)/Parameters!$B$9</f>
        <v>1.2555555555555555</v>
      </c>
      <c r="AP20" s="874">
        <f t="shared" si="146"/>
        <v>4.2555555555555555</v>
      </c>
      <c r="AQ20" s="887">
        <f t="shared" si="147"/>
        <v>8.959555555555557</v>
      </c>
      <c r="AR20" s="886">
        <f t="shared" si="148"/>
        <v>21.040444444444443</v>
      </c>
      <c r="AS20" s="876">
        <f t="shared" si="149"/>
        <v>0.70134814814814805</v>
      </c>
      <c r="AT20" s="494" t="b">
        <f t="shared" si="150"/>
        <v>0</v>
      </c>
      <c r="AU20" s="882" t="s">
        <v>868</v>
      </c>
      <c r="AV20" s="96">
        <v>0</v>
      </c>
    </row>
    <row r="21" spans="1:48" s="96" customFormat="1" ht="14.4">
      <c r="A21" s="494" t="str">
        <f t="shared" si="139"/>
        <v>Zakelijk BelBasisgeneriek vamo</v>
      </c>
      <c r="B21" s="494"/>
      <c r="C21" s="96" t="s">
        <v>19</v>
      </c>
      <c r="E21" s="96" t="s">
        <v>523</v>
      </c>
      <c r="H21" s="178" t="str">
        <f t="shared" si="140"/>
        <v>Zakelijk BelBasisgeneriek vamo</v>
      </c>
      <c r="I21" s="494" t="str">
        <f t="shared" si="141"/>
        <v>Zakelijk BelBasisgeneriek vamo</v>
      </c>
      <c r="J21" s="870">
        <f>INDEX(Verkeersprofielen!$B:$B,MATCH($H21,Verkeersprofielen!$A:$A,0))</f>
        <v>0</v>
      </c>
      <c r="K21" s="870">
        <f>INDEX(Verkeersprofielen!$C:$C,MATCH($H21,Verkeersprofielen!$A:$A,0))</f>
        <v>0</v>
      </c>
      <c r="L21" s="870">
        <f>INDEX(Verkeersprofielen!$D:$D,MATCH($H21,Verkeersprofielen!$A:$A,0))</f>
        <v>0</v>
      </c>
      <c r="M21" s="870">
        <f>INDEX(Verkeersprofielen!$E:$E,MATCH($H21,Verkeersprofielen!$A:$A,0))</f>
        <v>0</v>
      </c>
      <c r="N21" s="870">
        <f>INDEX(Verkeersprofielen!$F:$F,MATCH($H21,Verkeersprofielen!$A:$A,0))</f>
        <v>100</v>
      </c>
      <c r="O21" s="870">
        <f>INDEX(Verkeersprofielen!$G:$G,MATCH($H21,Verkeersprofielen!$A:$A,0))</f>
        <v>100</v>
      </c>
      <c r="P21" s="870">
        <f>INDEX(Verkeersprofielen!$H:$H,MATCH($H21,Verkeersprofielen!$A:$A,0))</f>
        <v>0</v>
      </c>
      <c r="Q21" s="870">
        <f>INDEX(Verkeersprofielen!$I:$I,MATCH($H21,Verkeersprofielen!$A:$A,0))</f>
        <v>0</v>
      </c>
      <c r="R21" s="870">
        <f>INDEX(Verkeersprofielen!$J:$J,MATCH($H21,Verkeersprofielen!$A:$A,0))</f>
        <v>0</v>
      </c>
      <c r="S21" s="871">
        <f>INDEX(Verkeersprofielen!$K:$K,MATCH($H21,Verkeersprofielen!$A:$A,0))</f>
        <v>0</v>
      </c>
      <c r="T21" s="883">
        <f>INDEX('Tarieven ZM'!$G:$G,MATCH($C21&amp;T$3,'Tarieven ZM'!$B:$B,0))*J21+K21*INDEX('Tarieven ZM'!$H:$H,MATCH($C21&amp;T$3,'Tarieven ZM'!$B:$B,0))</f>
        <v>0</v>
      </c>
      <c r="U21" s="873">
        <f>INDEX('Tarieven ZM'!$G:$G,MATCH($C21&amp;U$3,'Tarieven ZM'!$B:$B,0))*L21+M21*INDEX('Tarieven ZM'!$H:$H,MATCH($C21&amp;U$3,'Tarieven ZM'!$B:$B,0))</f>
        <v>0</v>
      </c>
      <c r="V21" s="873">
        <f>INDEX('Tarieven ZM'!$G:$G,MATCH($C21&amp;V$3,'Tarieven ZM'!$B:$B,0))*(N21+R21)+(O21+S21)*INDEX('Tarieven ZM'!$H:$H,MATCH($C21&amp;V$3,'Tarieven ZM'!$B:$B,0))</f>
        <v>15</v>
      </c>
      <c r="W21" s="873">
        <f>INDEX('Tarieven ZM'!$G:$G,MATCH($C21&amp;W$3,'Tarieven ZM'!$B:$B,0))*P21+Q21*INDEX('Tarieven ZM'!$H:$H,MATCH($C21&amp;W$3,'Tarieven ZM'!$B:$B,0))</f>
        <v>0</v>
      </c>
      <c r="X21" s="874">
        <f t="shared" si="142"/>
        <v>15</v>
      </c>
      <c r="Y21" s="884">
        <f>IF(ISNA(INDEX(Kortingsstaffels!$F:$F,MATCH($I21,Kortingsstaffels!$B:$B,0))),0,INDEX(Kortingsstaffels!$F:$F,MATCH($I21,Kortingsstaffels!$B:$B,0)))</f>
        <v>0</v>
      </c>
      <c r="Z21" s="876">
        <f>IF(ISNA(INDEX(Kortingsstaffels!$G:$G,MATCH($I21,Kortingsstaffels!$B:$B,0))),0,INDEX(Kortingsstaffels!$G:$G,MATCH($I21,Kortingsstaffels!$B:$B,0)))</f>
        <v>0</v>
      </c>
      <c r="AA21" s="876">
        <f>IF(ISNA(INDEX(Kortingsstaffels!$H:$H,MATCH($I21,Kortingsstaffels!$B:$B,0))),0,INDEX(Kortingsstaffels!$H:$H,MATCH($I21,Kortingsstaffels!$B:$B,0)))</f>
        <v>0</v>
      </c>
      <c r="AB21" s="877">
        <f>IF(ISNA(INDEX(Kortingsstaffels!$I:$I,MATCH($I21,Kortingsstaffels!$B:$B,0))),0,INDEX(Kortingsstaffels!$I:$I,MATCH($I21,Kortingsstaffels!$B:$B,0)))</f>
        <v>0</v>
      </c>
      <c r="AC21" s="885">
        <f t="shared" si="143"/>
        <v>0</v>
      </c>
      <c r="AD21" s="495">
        <f t="shared" si="143"/>
        <v>0</v>
      </c>
      <c r="AE21" s="495">
        <f t="shared" si="143"/>
        <v>15</v>
      </c>
      <c r="AF21" s="495">
        <f t="shared" si="143"/>
        <v>0</v>
      </c>
      <c r="AG21" s="879">
        <f t="shared" si="144"/>
        <v>15</v>
      </c>
      <c r="AH21" s="886">
        <f>INDEX('Hulpblad inkooptarieven'!$D:$D,MATCH('Rekenblad Verkeer'!$AH$3,'Hulpblad inkooptarieven'!$A:$A,0))*K21</f>
        <v>0</v>
      </c>
      <c r="AI21" s="495">
        <f>INDEX('Hulpblad inkooptarieven'!D:D,MATCH('Rekenblad Verkeer'!$AI$3,'Hulpblad inkooptarieven'!$A:$A,0))*M21</f>
        <v>0</v>
      </c>
      <c r="AJ21" s="495">
        <f>INDEX('Hulpblad inkooptarieven'!D:D,MATCH('Rekenblad Verkeer'!$AJ$3,'Hulpblad inkooptarieven'!$A:$A,0))*(O21+R21)</f>
        <v>5.3746650000000002</v>
      </c>
      <c r="AK21" s="495">
        <f>INDEX('Hulpblad inkooptarieven'!D:D,MATCH('Rekenblad Verkeer'!$AK$3,'Hulpblad inkooptarieven'!$A:$A,0))*Q21</f>
        <v>0</v>
      </c>
      <c r="AL21" s="879">
        <f t="shared" si="145"/>
        <v>5.3746650000000002</v>
      </c>
      <c r="AM21" s="883">
        <f>AG21*Parameters!$B$3</f>
        <v>1.5</v>
      </c>
      <c r="AN21" s="888">
        <f>IF(LEFT(I21,2)="TZ",(('Vergoedingen grondslag'!$F$20+'Vergoedingen grondslag'!$I$20+'Vergoedingen grondslag'!$L$20+'Vergoedingen grondslag'!$O$20)*AG21)+('Vergoedingen grondslag'!$O$20*0+'Vergoedingen grondslag'!$R$20*0+'Vergoedingen grondslag'!$U$20*0)/Parameters!$B$9,('Vergoedingen grondslag'!$F$11+'Vergoedingen grondslag'!$I$11+'Vergoedingen grondslag'!$L$11+'Vergoedingen grondslag'!$O$11)*AG21)+('Vergoedingen grondslag'!$O$11*0+'Vergoedingen grondslag'!$R$11*0+'Vergoedingen grondslag'!$U$11+'Vergoedingen grondslag'!$X$11)/Parameters!$B$9</f>
        <v>0.65555555555555556</v>
      </c>
      <c r="AP21" s="874">
        <f t="shared" si="146"/>
        <v>2.1555555555555554</v>
      </c>
      <c r="AQ21" s="887">
        <f t="shared" si="147"/>
        <v>7.5302205555555553</v>
      </c>
      <c r="AR21" s="886">
        <f t="shared" si="148"/>
        <v>7.4697794444444447</v>
      </c>
      <c r="AS21" s="876">
        <f t="shared" si="149"/>
        <v>0.49798529629629634</v>
      </c>
      <c r="AT21" s="494" t="b">
        <f t="shared" si="150"/>
        <v>0</v>
      </c>
      <c r="AU21" s="882" t="s">
        <v>868</v>
      </c>
      <c r="AV21" s="96">
        <v>0</v>
      </c>
    </row>
    <row r="22" spans="1:48" s="96" customFormat="1" ht="14.4">
      <c r="A22" s="494" t="str">
        <f t="shared" si="139"/>
        <v>Zakelijk BelBasisgeneriek idd</v>
      </c>
      <c r="B22" s="494"/>
      <c r="C22" s="96" t="s">
        <v>19</v>
      </c>
      <c r="E22" s="96" t="s">
        <v>524</v>
      </c>
      <c r="H22" s="178" t="str">
        <f t="shared" si="140"/>
        <v>Zakelijk BelBasisgeneriek idd</v>
      </c>
      <c r="I22" s="494" t="str">
        <f>C22&amp;E22&amp;G22</f>
        <v>Zakelijk BelBasisgeneriek idd</v>
      </c>
      <c r="J22" s="870">
        <f>INDEX(Verkeersprofielen!$B:$B,MATCH($H22,Verkeersprofielen!$A:$A,0))</f>
        <v>0</v>
      </c>
      <c r="K22" s="870">
        <f>INDEX(Verkeersprofielen!$C:$C,MATCH($H22,Verkeersprofielen!$A:$A,0))</f>
        <v>0</v>
      </c>
      <c r="L22" s="870">
        <f>INDEX(Verkeersprofielen!$D:$D,MATCH($H22,Verkeersprofielen!$A:$A,0))</f>
        <v>0</v>
      </c>
      <c r="M22" s="870">
        <f>INDEX(Verkeersprofielen!$E:$E,MATCH($H22,Verkeersprofielen!$A:$A,0))</f>
        <v>0</v>
      </c>
      <c r="N22" s="870">
        <f>INDEX(Verkeersprofielen!$F:$F,MATCH($H22,Verkeersprofielen!$A:$A,0))</f>
        <v>0</v>
      </c>
      <c r="O22" s="870">
        <f>INDEX(Verkeersprofielen!$G:$G,MATCH($H22,Verkeersprofielen!$A:$A,0))</f>
        <v>0</v>
      </c>
      <c r="P22" s="870">
        <f>INDEX(Verkeersprofielen!$H:$H,MATCH($H22,Verkeersprofielen!$A:$A,0))</f>
        <v>100</v>
      </c>
      <c r="Q22" s="870">
        <f>INDEX(Verkeersprofielen!$I:$I,MATCH($H22,Verkeersprofielen!$A:$A,0))</f>
        <v>100</v>
      </c>
      <c r="R22" s="870">
        <f>INDEX(Verkeersprofielen!$J:$J,MATCH($H22,Verkeersprofielen!$A:$A,0))</f>
        <v>0</v>
      </c>
      <c r="S22" s="871">
        <f>INDEX(Verkeersprofielen!$K:$K,MATCH($H22,Verkeersprofielen!$A:$A,0))</f>
        <v>0</v>
      </c>
      <c r="T22" s="883">
        <f>INDEX('Tarieven ZM'!$G:$G,MATCH($C22&amp;T$3,'Tarieven ZM'!$B:$B,0))*J22+K22*INDEX('Tarieven ZM'!$H:$H,MATCH($C22&amp;T$3,'Tarieven ZM'!$B:$B,0))</f>
        <v>0</v>
      </c>
      <c r="U22" s="873">
        <f>INDEX('Tarieven ZM'!$G:$G,MATCH($C22&amp;U$3,'Tarieven ZM'!$B:$B,0))*L22+M22*INDEX('Tarieven ZM'!$H:$H,MATCH($C22&amp;U$3,'Tarieven ZM'!$B:$B,0))</f>
        <v>0</v>
      </c>
      <c r="V22" s="873">
        <f>INDEX('Tarieven ZM'!$G:$G,MATCH($C22&amp;V$3,'Tarieven ZM'!$B:$B,0))*(N22+R22)+(O22+S22)*INDEX('Tarieven ZM'!$H:$H,MATCH($C22&amp;V$3,'Tarieven ZM'!$B:$B,0))</f>
        <v>0</v>
      </c>
      <c r="W22" s="873">
        <f>INDEX('Tarieven ZM'!$G:$G,MATCH($C22&amp;W$3,'Tarieven ZM'!$B:$B,0))*P22+Q22*INDEX('Tarieven ZM'!$H:$H,MATCH($C22&amp;W$3,'Tarieven ZM'!$B:$B,0))</f>
        <v>15</v>
      </c>
      <c r="X22" s="874">
        <f t="shared" si="142"/>
        <v>15</v>
      </c>
      <c r="Y22" s="884">
        <f>IF(ISNA(INDEX(Kortingsstaffels!$F:$F,MATCH($I22,Kortingsstaffels!$B:$B,0))),0,INDEX(Kortingsstaffels!$F:$F,MATCH($I22,Kortingsstaffels!$B:$B,0)))</f>
        <v>0</v>
      </c>
      <c r="Z22" s="876">
        <f>IF(ISNA(INDEX(Kortingsstaffels!$G:$G,MATCH($I22,Kortingsstaffels!$B:$B,0))),0,INDEX(Kortingsstaffels!$G:$G,MATCH($I22,Kortingsstaffels!$B:$B,0)))</f>
        <v>0</v>
      </c>
      <c r="AA22" s="876">
        <f>IF(ISNA(INDEX(Kortingsstaffels!$H:$H,MATCH($I22,Kortingsstaffels!$B:$B,0))),0,INDEX(Kortingsstaffels!$H:$H,MATCH($I22,Kortingsstaffels!$B:$B,0)))</f>
        <v>0</v>
      </c>
      <c r="AB22" s="877">
        <f>IF(ISNA(INDEX(Kortingsstaffels!$I:$I,MATCH($I22,Kortingsstaffels!$B:$B,0))),0,INDEX(Kortingsstaffels!$I:$I,MATCH($I22,Kortingsstaffels!$B:$B,0)))</f>
        <v>0</v>
      </c>
      <c r="AC22" s="885">
        <f t="shared" si="143"/>
        <v>0</v>
      </c>
      <c r="AD22" s="495">
        <f t="shared" si="143"/>
        <v>0</v>
      </c>
      <c r="AE22" s="495">
        <f t="shared" si="143"/>
        <v>0</v>
      </c>
      <c r="AF22" s="495">
        <f t="shared" si="143"/>
        <v>15</v>
      </c>
      <c r="AG22" s="879">
        <f t="shared" si="144"/>
        <v>15</v>
      </c>
      <c r="AH22" s="886">
        <f>INDEX('Hulpblad inkooptarieven'!$D:$D,MATCH('Rekenblad Verkeer'!$AH$3,'Hulpblad inkooptarieven'!$A:$A,0))*K22</f>
        <v>0</v>
      </c>
      <c r="AI22" s="495">
        <f>INDEX('Hulpblad inkooptarieven'!D:D,MATCH('Rekenblad Verkeer'!$AI$3,'Hulpblad inkooptarieven'!$A:$A,0))*M22</f>
        <v>0</v>
      </c>
      <c r="AJ22" s="495">
        <f>INDEX('Hulpblad inkooptarieven'!D:D,MATCH('Rekenblad Verkeer'!$AJ$3,'Hulpblad inkooptarieven'!$A:$A,0))*(O22+R22)</f>
        <v>0</v>
      </c>
      <c r="AK22" s="495">
        <f>INDEX('Hulpblad inkooptarieven'!D:D,MATCH('Rekenblad Verkeer'!$AK$3,'Hulpblad inkooptarieven'!$A:$A,0))*Q22</f>
        <v>12.5</v>
      </c>
      <c r="AL22" s="879">
        <f t="shared" si="145"/>
        <v>12.5</v>
      </c>
      <c r="AM22" s="883">
        <f>AG22*Parameters!$B$3</f>
        <v>1.5</v>
      </c>
      <c r="AN22" s="888">
        <f>IF(LEFT(I22,2)="TZ",(('Vergoedingen grondslag'!$F$20+'Vergoedingen grondslag'!$I$20+'Vergoedingen grondslag'!$L$20+'Vergoedingen grondslag'!$O$20)*AG22)+('Vergoedingen grondslag'!$O$20*0+'Vergoedingen grondslag'!$R$20*0+'Vergoedingen grondslag'!$U$20*0)/Parameters!$B$9,('Vergoedingen grondslag'!$F$11+'Vergoedingen grondslag'!$I$11+'Vergoedingen grondslag'!$L$11+'Vergoedingen grondslag'!$O$11)*AG22)+('Vergoedingen grondslag'!$O$11*0+'Vergoedingen grondslag'!$R$11*0+'Vergoedingen grondslag'!$U$11+'Vergoedingen grondslag'!$X$11)/Parameters!$B$9</f>
        <v>0.65555555555555556</v>
      </c>
      <c r="AP22" s="874">
        <f t="shared" si="146"/>
        <v>2.1555555555555554</v>
      </c>
      <c r="AQ22" s="887">
        <f t="shared" si="147"/>
        <v>14.655555555555555</v>
      </c>
      <c r="AR22" s="886">
        <f t="shared" si="148"/>
        <v>0.344444444444445</v>
      </c>
      <c r="AS22" s="876">
        <f t="shared" si="149"/>
        <v>2.2962962962963001E-2</v>
      </c>
      <c r="AT22" s="494" t="b">
        <f t="shared" si="150"/>
        <v>0</v>
      </c>
      <c r="AU22" s="882" t="s">
        <v>868</v>
      </c>
      <c r="AV22" s="96">
        <v>0</v>
      </c>
    </row>
    <row r="23" spans="1:48" s="96" customFormat="1" ht="14.4">
      <c r="A23" s="494" t="str">
        <f t="shared" si="139"/>
        <v>Slim BereikbaarISDN1</v>
      </c>
      <c r="B23" s="494"/>
      <c r="C23" s="96" t="s">
        <v>716</v>
      </c>
      <c r="D23" s="96" t="s">
        <v>464</v>
      </c>
      <c r="H23" s="178" t="str">
        <f t="shared" si="140"/>
        <v>Slim BereikbaarISDN1</v>
      </c>
      <c r="I23" s="494" t="str">
        <f>C23&amp;E23&amp;G23</f>
        <v>Slim Bereikbaar</v>
      </c>
      <c r="J23" s="870">
        <f>INDEX(Verkeersprofielen!$B:$B,MATCH($H23,Verkeersprofielen!$A:$A,0))</f>
        <v>0</v>
      </c>
      <c r="K23" s="870">
        <f>INDEX(Verkeersprofielen!$C:$C,MATCH($H23,Verkeersprofielen!$A:$A,0))</f>
        <v>0</v>
      </c>
      <c r="L23" s="870">
        <f>INDEX(Verkeersprofielen!$D:$D,MATCH($H23,Verkeersprofielen!$A:$A,0))</f>
        <v>0</v>
      </c>
      <c r="M23" s="870">
        <f>INDEX(Verkeersprofielen!$E:$E,MATCH($H23,Verkeersprofielen!$A:$A,0))</f>
        <v>0</v>
      </c>
      <c r="N23" s="870">
        <f>INDEX(Verkeersprofielen!$F:$F,MATCH($H23,Verkeersprofielen!$A:$A,0))</f>
        <v>0</v>
      </c>
      <c r="O23" s="870">
        <f>INDEX(Verkeersprofielen!$G:$G,MATCH($H23,Verkeersprofielen!$A:$A,0))</f>
        <v>0</v>
      </c>
      <c r="P23" s="870">
        <f>INDEX(Verkeersprofielen!$H:$H,MATCH($H23,Verkeersprofielen!$A:$A,0))</f>
        <v>0</v>
      </c>
      <c r="Q23" s="870">
        <f>INDEX(Verkeersprofielen!$I:$I,MATCH($H23,Verkeersprofielen!$A:$A,0))</f>
        <v>0</v>
      </c>
      <c r="R23" s="870">
        <f>INDEX(Verkeersprofielen!$J:$J,MATCH($H23,Verkeersprofielen!$A:$A,0))</f>
        <v>100</v>
      </c>
      <c r="S23" s="871">
        <f>INDEX(Verkeersprofielen!$K:$K,MATCH($H23,Verkeersprofielen!$A:$A,0))</f>
        <v>100</v>
      </c>
      <c r="T23" s="883">
        <f>INDEX('Tarieven ZM'!$G:$G,MATCH($C23&amp;T$3,'Tarieven ZM'!$B:$B,0))*J23+K23*INDEX('Tarieven ZM'!$H:$H,MATCH($C23&amp;T$3,'Tarieven ZM'!$B:$B,0))</f>
        <v>0</v>
      </c>
      <c r="U23" s="873">
        <f>INDEX('Tarieven ZM'!$G:$G,MATCH($C23&amp;U$3,'Tarieven ZM'!$B:$B,0))*L23+M23*INDEX('Tarieven ZM'!$H:$H,MATCH($C23&amp;U$3,'Tarieven ZM'!$B:$B,0))</f>
        <v>0</v>
      </c>
      <c r="V23" s="873">
        <f>INDEX('Tarieven ZM'!$G:$G,MATCH($C23&amp;V$3,'Tarieven ZM'!$B:$B,0))*(N23+R23)+(O23+S23)*INDEX('Tarieven ZM'!$H:$H,MATCH($C23&amp;V$3,'Tarieven ZM'!$B:$B,0))</f>
        <v>15</v>
      </c>
      <c r="W23" s="873">
        <f>INDEX('Tarieven ZM'!$G:$G,MATCH($C23&amp;W$3,'Tarieven ZM'!$B:$B,0))*P23+Q23*INDEX('Tarieven ZM'!$H:$H,MATCH($C23&amp;W$3,'Tarieven ZM'!$B:$B,0))</f>
        <v>0</v>
      </c>
      <c r="X23" s="874">
        <f t="shared" si="142"/>
        <v>15</v>
      </c>
      <c r="Y23" s="884">
        <f>IF(ISNA(INDEX(Kortingsstaffels!$F:$F,MATCH($I23,Kortingsstaffels!$B:$B,0))),0,INDEX(Kortingsstaffels!$F:$F,MATCH($I23,Kortingsstaffels!$B:$B,0)))</f>
        <v>0</v>
      </c>
      <c r="Z23" s="876">
        <f>IF(ISNA(INDEX(Kortingsstaffels!$G:$G,MATCH($I23,Kortingsstaffels!$B:$B,0))),0,INDEX(Kortingsstaffels!$G:$G,MATCH($I23,Kortingsstaffels!$B:$B,0)))</f>
        <v>0</v>
      </c>
      <c r="AA23" s="876">
        <f>IF(ISNA(INDEX(Kortingsstaffels!$H:$H,MATCH($I23,Kortingsstaffels!$B:$B,0))),0,INDEX(Kortingsstaffels!$H:$H,MATCH($I23,Kortingsstaffels!$B:$B,0)))</f>
        <v>0</v>
      </c>
      <c r="AB23" s="877">
        <f>IF(ISNA(INDEX(Kortingsstaffels!$I:$I,MATCH($I23,Kortingsstaffels!$B:$B,0))),0,INDEX(Kortingsstaffels!$I:$I,MATCH($I23,Kortingsstaffels!$B:$B,0)))</f>
        <v>0</v>
      </c>
      <c r="AC23" s="885">
        <f t="shared" si="143"/>
        <v>0</v>
      </c>
      <c r="AD23" s="495">
        <f t="shared" si="143"/>
        <v>0</v>
      </c>
      <c r="AE23" s="495">
        <f t="shared" si="143"/>
        <v>15</v>
      </c>
      <c r="AF23" s="495">
        <f t="shared" si="143"/>
        <v>0</v>
      </c>
      <c r="AG23" s="879">
        <f t="shared" si="144"/>
        <v>15</v>
      </c>
      <c r="AH23" s="886">
        <f>INDEX('Hulpblad inkooptarieven'!$D:$D,MATCH('Rekenblad Verkeer'!$AH$3,'Hulpblad inkooptarieven'!$A:$A,0))*K23</f>
        <v>0</v>
      </c>
      <c r="AI23" s="495">
        <f>INDEX('Hulpblad inkooptarieven'!D:D,MATCH('Rekenblad Verkeer'!$AI$3,'Hulpblad inkooptarieven'!$A:$A,0))*M23</f>
        <v>0</v>
      </c>
      <c r="AJ23" s="495">
        <f>INDEX('Hulpblad inkooptarieven'!D:D,MATCH('Rekenblad Verkeer'!$AJ$3,'Hulpblad inkooptarieven'!$A:$A,0))*(O23+R23)</f>
        <v>5.3746650000000002</v>
      </c>
      <c r="AK23" s="495">
        <f>INDEX('Hulpblad inkooptarieven'!D:D,MATCH('Rekenblad Verkeer'!$AK$3,'Hulpblad inkooptarieven'!$A:$A,0))*Q23</f>
        <v>0</v>
      </c>
      <c r="AL23" s="879">
        <f t="shared" si="145"/>
        <v>5.3746650000000002</v>
      </c>
      <c r="AM23" s="883">
        <f>AG23*Parameters!$B$3</f>
        <v>1.5</v>
      </c>
      <c r="AN23" s="888">
        <f>IF(LEFT(I23,2)="TZ",(('Vergoedingen grondslag'!$F$20+'Vergoedingen grondslag'!$I$20+'Vergoedingen grondslag'!$L$20+'Vergoedingen grondslag'!$O$20)*AG23)+('Vergoedingen grondslag'!$O$20*0+'Vergoedingen grondslag'!$R$20*0+'Vergoedingen grondslag'!$U$20*0)/Parameters!$B$9,('Vergoedingen grondslag'!$F$11+'Vergoedingen grondslag'!$I$11+'Vergoedingen grondslag'!$L$11+'Vergoedingen grondslag'!$O$11)*AG23)+('Vergoedingen grondslag'!$O$11*0+'Vergoedingen grondslag'!$R$11*0+'Vergoedingen grondslag'!$U$11+'Vergoedingen grondslag'!$X$11)/Parameters!$B$9</f>
        <v>0.65555555555555556</v>
      </c>
      <c r="AP23" s="874">
        <f t="shared" si="146"/>
        <v>2.1555555555555554</v>
      </c>
      <c r="AQ23" s="887">
        <f t="shared" si="147"/>
        <v>7.5302205555555553</v>
      </c>
      <c r="AR23" s="886">
        <f t="shared" si="148"/>
        <v>7.4697794444444447</v>
      </c>
      <c r="AS23" s="876">
        <f t="shared" si="149"/>
        <v>0.49798529629629634</v>
      </c>
      <c r="AT23" s="494" t="b">
        <f>AR23&lt;0</f>
        <v>0</v>
      </c>
      <c r="AU23" s="882" t="s">
        <v>868</v>
      </c>
      <c r="AV23" s="96">
        <v>1</v>
      </c>
    </row>
    <row r="24" spans="1:48" s="96" customFormat="1" ht="14.4">
      <c r="A24" s="494" t="str">
        <f t="shared" si="139"/>
        <v>Slim BereikbaarISDN2</v>
      </c>
      <c r="B24" s="494"/>
      <c r="C24" s="96" t="s">
        <v>716</v>
      </c>
      <c r="D24" s="96" t="s">
        <v>465</v>
      </c>
      <c r="H24" s="178" t="str">
        <f t="shared" si="140"/>
        <v>Slim BereikbaarISDN2</v>
      </c>
      <c r="I24" s="494" t="str">
        <f>C24&amp;E24&amp;G24</f>
        <v>Slim Bereikbaar</v>
      </c>
      <c r="J24" s="870">
        <f>INDEX(Verkeersprofielen!$B:$B,MATCH($H24,Verkeersprofielen!$A:$A,0))</f>
        <v>0</v>
      </c>
      <c r="K24" s="870">
        <f>INDEX(Verkeersprofielen!$C:$C,MATCH($H24,Verkeersprofielen!$A:$A,0))</f>
        <v>0</v>
      </c>
      <c r="L24" s="870">
        <f>INDEX(Verkeersprofielen!$D:$D,MATCH($H24,Verkeersprofielen!$A:$A,0))</f>
        <v>0</v>
      </c>
      <c r="M24" s="870">
        <f>INDEX(Verkeersprofielen!$E:$E,MATCH($H24,Verkeersprofielen!$A:$A,0))</f>
        <v>0</v>
      </c>
      <c r="N24" s="870">
        <f>INDEX(Verkeersprofielen!$F:$F,MATCH($H24,Verkeersprofielen!$A:$A,0))</f>
        <v>0</v>
      </c>
      <c r="O24" s="870">
        <f>INDEX(Verkeersprofielen!$G:$G,MATCH($H24,Verkeersprofielen!$A:$A,0))</f>
        <v>0</v>
      </c>
      <c r="P24" s="870">
        <f>INDEX(Verkeersprofielen!$H:$H,MATCH($H24,Verkeersprofielen!$A:$A,0))</f>
        <v>0</v>
      </c>
      <c r="Q24" s="870">
        <f>INDEX(Verkeersprofielen!$I:$I,MATCH($H24,Verkeersprofielen!$A:$A,0))</f>
        <v>0</v>
      </c>
      <c r="R24" s="870">
        <f>INDEX(Verkeersprofielen!$J:$J,MATCH($H24,Verkeersprofielen!$A:$A,0))</f>
        <v>100</v>
      </c>
      <c r="S24" s="871">
        <f>INDEX(Verkeersprofielen!$K:$K,MATCH($H24,Verkeersprofielen!$A:$A,0))</f>
        <v>100</v>
      </c>
      <c r="T24" s="883">
        <f>INDEX('Tarieven ZM'!$G:$G,MATCH($C24&amp;T$3,'Tarieven ZM'!$B:$B,0))*J24+K24*INDEX('Tarieven ZM'!$H:$H,MATCH($C24&amp;T$3,'Tarieven ZM'!$B:$B,0))</f>
        <v>0</v>
      </c>
      <c r="U24" s="873">
        <f>INDEX('Tarieven ZM'!$G:$G,MATCH($C24&amp;U$3,'Tarieven ZM'!$B:$B,0))*L24+M24*INDEX('Tarieven ZM'!$H:$H,MATCH($C24&amp;U$3,'Tarieven ZM'!$B:$B,0))</f>
        <v>0</v>
      </c>
      <c r="V24" s="873">
        <f>INDEX('Tarieven ZM'!$G:$G,MATCH($C24&amp;V$3,'Tarieven ZM'!$B:$B,0))*(N24+R24)+(O24+S24)*INDEX('Tarieven ZM'!$H:$H,MATCH($C24&amp;V$3,'Tarieven ZM'!$B:$B,0))</f>
        <v>15</v>
      </c>
      <c r="W24" s="873">
        <f>INDEX('Tarieven ZM'!$G:$G,MATCH($C24&amp;W$3,'Tarieven ZM'!$B:$B,0))*P24+Q24*INDEX('Tarieven ZM'!$H:$H,MATCH($C24&amp;W$3,'Tarieven ZM'!$B:$B,0))</f>
        <v>0</v>
      </c>
      <c r="X24" s="874">
        <f t="shared" si="142"/>
        <v>15</v>
      </c>
      <c r="Y24" s="884">
        <f>IF(ISNA(INDEX(Kortingsstaffels!$F:$F,MATCH($I24,Kortingsstaffels!$B:$B,0))),0,INDEX(Kortingsstaffels!$F:$F,MATCH($I24,Kortingsstaffels!$B:$B,0)))</f>
        <v>0</v>
      </c>
      <c r="Z24" s="876">
        <f>IF(ISNA(INDEX(Kortingsstaffels!$G:$G,MATCH($I24,Kortingsstaffels!$B:$B,0))),0,INDEX(Kortingsstaffels!$G:$G,MATCH($I24,Kortingsstaffels!$B:$B,0)))</f>
        <v>0</v>
      </c>
      <c r="AA24" s="876">
        <f>IF(ISNA(INDEX(Kortingsstaffels!$H:$H,MATCH($I24,Kortingsstaffels!$B:$B,0))),0,INDEX(Kortingsstaffels!$H:$H,MATCH($I24,Kortingsstaffels!$B:$B,0)))</f>
        <v>0</v>
      </c>
      <c r="AB24" s="877">
        <f>IF(ISNA(INDEX(Kortingsstaffels!$I:$I,MATCH($I24,Kortingsstaffels!$B:$B,0))),0,INDEX(Kortingsstaffels!$I:$I,MATCH($I24,Kortingsstaffels!$B:$B,0)))</f>
        <v>0</v>
      </c>
      <c r="AC24" s="885">
        <f t="shared" si="143"/>
        <v>0</v>
      </c>
      <c r="AD24" s="495">
        <f t="shared" si="143"/>
        <v>0</v>
      </c>
      <c r="AE24" s="495">
        <f t="shared" si="143"/>
        <v>15</v>
      </c>
      <c r="AF24" s="495">
        <f t="shared" si="143"/>
        <v>0</v>
      </c>
      <c r="AG24" s="879">
        <f t="shared" si="144"/>
        <v>15</v>
      </c>
      <c r="AH24" s="886">
        <f>INDEX('Hulpblad inkooptarieven'!$D:$D,MATCH('Rekenblad Verkeer'!$AH$3,'Hulpblad inkooptarieven'!$A:$A,0))*K24</f>
        <v>0</v>
      </c>
      <c r="AI24" s="495">
        <f>INDEX('Hulpblad inkooptarieven'!D:D,MATCH('Rekenblad Verkeer'!$AI$3,'Hulpblad inkooptarieven'!$A:$A,0))*M24</f>
        <v>0</v>
      </c>
      <c r="AJ24" s="495">
        <f>INDEX('Hulpblad inkooptarieven'!D:D,MATCH('Rekenblad Verkeer'!$AJ$3,'Hulpblad inkooptarieven'!$A:$A,0))*(O24+R24)</f>
        <v>5.3746650000000002</v>
      </c>
      <c r="AK24" s="495">
        <f>INDEX('Hulpblad inkooptarieven'!D:D,MATCH('Rekenblad Verkeer'!$AK$3,'Hulpblad inkooptarieven'!$A:$A,0))*Q24</f>
        <v>0</v>
      </c>
      <c r="AL24" s="879">
        <f t="shared" si="145"/>
        <v>5.3746650000000002</v>
      </c>
      <c r="AM24" s="883">
        <f>AG24*Parameters!$B$3</f>
        <v>1.5</v>
      </c>
      <c r="AN24" s="888">
        <f>IF(LEFT(I24,2)="TZ",(('Vergoedingen grondslag'!$F$20+'Vergoedingen grondslag'!$I$20+'Vergoedingen grondslag'!$L$20+'Vergoedingen grondslag'!$O$20)*AG24)+('Vergoedingen grondslag'!$O$20*0+'Vergoedingen grondslag'!$R$20*0+'Vergoedingen grondslag'!$U$20*0)/Parameters!$B$9,('Vergoedingen grondslag'!$F$11+'Vergoedingen grondslag'!$I$11+'Vergoedingen grondslag'!$L$11+'Vergoedingen grondslag'!$O$11)*AG24)+('Vergoedingen grondslag'!$O$11*0+'Vergoedingen grondslag'!$R$11*0+'Vergoedingen grondslag'!$U$11+'Vergoedingen grondslag'!$X$11)/Parameters!$B$9</f>
        <v>0.65555555555555556</v>
      </c>
      <c r="AP24" s="874">
        <f t="shared" si="146"/>
        <v>2.1555555555555554</v>
      </c>
      <c r="AQ24" s="887">
        <f t="shared" si="147"/>
        <v>7.5302205555555553</v>
      </c>
      <c r="AR24" s="886">
        <f t="shared" si="148"/>
        <v>7.4697794444444447</v>
      </c>
      <c r="AS24" s="876">
        <f t="shared" si="149"/>
        <v>0.49798529629629634</v>
      </c>
      <c r="AT24" s="494" t="b">
        <f>AR24&lt;0</f>
        <v>0</v>
      </c>
      <c r="AU24" s="882" t="s">
        <v>868</v>
      </c>
      <c r="AV24" s="96">
        <v>1</v>
      </c>
    </row>
    <row r="25" spans="1:48" s="96" customFormat="1" ht="14.4">
      <c r="A25" s="494" t="str">
        <f t="shared" si="139"/>
        <v>TZ Max1.0</v>
      </c>
      <c r="B25" s="494"/>
      <c r="C25" s="96" t="s">
        <v>529</v>
      </c>
      <c r="E25" s="96" t="s">
        <v>528</v>
      </c>
      <c r="H25" s="178" t="str">
        <f t="shared" si="140"/>
        <v>TZ Max1.0</v>
      </c>
      <c r="I25" s="494" t="str">
        <f t="shared" si="141"/>
        <v>TZ Max1.0</v>
      </c>
      <c r="J25" s="870">
        <f>INDEX(Verkeersprofielen!$B:$B,MATCH($H25,Verkeersprofielen!$A:$A,0))</f>
        <v>100</v>
      </c>
      <c r="K25" s="870">
        <f>INDEX(Verkeersprofielen!$C:$C,MATCH($H25,Verkeersprofielen!$A:$A,0))</f>
        <v>100</v>
      </c>
      <c r="L25" s="870">
        <f>INDEX(Verkeersprofielen!$D:$D,MATCH($H25,Verkeersprofielen!$A:$A,0))</f>
        <v>100</v>
      </c>
      <c r="M25" s="870">
        <f>INDEX(Verkeersprofielen!$E:$E,MATCH($H25,Verkeersprofielen!$A:$A,0))</f>
        <v>100</v>
      </c>
      <c r="N25" s="870">
        <f>INDEX(Verkeersprofielen!$F:$F,MATCH($H25,Verkeersprofielen!$A:$A,0))</f>
        <v>100</v>
      </c>
      <c r="O25" s="870">
        <f>INDEX(Verkeersprofielen!$G:$G,MATCH($H25,Verkeersprofielen!$A:$A,0))</f>
        <v>100</v>
      </c>
      <c r="P25" s="870">
        <f>INDEX(Verkeersprofielen!$H:$H,MATCH($H25,Verkeersprofielen!$A:$A,0))</f>
        <v>100</v>
      </c>
      <c r="Q25" s="870">
        <f>INDEX(Verkeersprofielen!$I:$I,MATCH($H25,Verkeersprofielen!$A:$A,0))</f>
        <v>100</v>
      </c>
      <c r="R25" s="870">
        <f>INDEX(Verkeersprofielen!$J:$J,MATCH($H25,Verkeersprofielen!$A:$A,0))</f>
        <v>0</v>
      </c>
      <c r="S25" s="871">
        <f>INDEX(Verkeersprofielen!$K:$K,MATCH($H25,Verkeersprofielen!$A:$A,0))</f>
        <v>0</v>
      </c>
      <c r="T25" s="883">
        <f>INDEX('Tarieven ZM'!$G:$G,MATCH($C25&amp;T$3,'Tarieven ZM'!$B:$B,0))*J25+K25*INDEX('Tarieven ZM'!$H:$H,MATCH($C25&amp;T$3,'Tarieven ZM'!$B:$B,0))</f>
        <v>15</v>
      </c>
      <c r="U25" s="873">
        <f>INDEX('Tarieven ZM'!$G:$G,MATCH($C25&amp;U$3,'Tarieven ZM'!$B:$B,0))*L25+M25*INDEX('Tarieven ZM'!$H:$H,MATCH($C25&amp;U$3,'Tarieven ZM'!$B:$B,0))</f>
        <v>15</v>
      </c>
      <c r="V25" s="873">
        <f>INDEX('Tarieven ZM'!$G:$G,MATCH($C25&amp;V$3,'Tarieven ZM'!$B:$B,0))*(N25+R25)+(O25+S25)*INDEX('Tarieven ZM'!$H:$H,MATCH($C25&amp;V$3,'Tarieven ZM'!$B:$B,0))</f>
        <v>15</v>
      </c>
      <c r="W25" s="873">
        <f>INDEX('Tarieven ZM'!$G:$G,MATCH($C25&amp;W$3,'Tarieven ZM'!$B:$B,0))*P25+Q25*INDEX('Tarieven ZM'!$H:$H,MATCH($C25&amp;W$3,'Tarieven ZM'!$B:$B,0))</f>
        <v>15</v>
      </c>
      <c r="X25" s="874">
        <f t="shared" ref="X25" si="151">SUM(T25:W25)</f>
        <v>60</v>
      </c>
      <c r="Y25" s="884">
        <f>IF(ISNA(INDEX(Kortingsstaffels!$F:$F,MATCH($I25,Kortingsstaffels!$B:$B,0))),0,INDEX(Kortingsstaffels!$F:$F,MATCH($I25,Kortingsstaffels!$B:$B,0)))</f>
        <v>0.1</v>
      </c>
      <c r="Z25" s="876">
        <f>IF(ISNA(INDEX(Kortingsstaffels!$G:$G,MATCH($I25,Kortingsstaffels!$B:$B,0))),0,INDEX(Kortingsstaffels!$G:$G,MATCH($I25,Kortingsstaffels!$B:$B,0)))</f>
        <v>0.1</v>
      </c>
      <c r="AA25" s="876">
        <f>IF(ISNA(INDEX(Kortingsstaffels!$H:$H,MATCH($I25,Kortingsstaffels!$B:$B,0))),0,INDEX(Kortingsstaffels!$H:$H,MATCH($I25,Kortingsstaffels!$B:$B,0)))</f>
        <v>0.1</v>
      </c>
      <c r="AB25" s="877">
        <f>IF(ISNA(INDEX(Kortingsstaffels!$I:$I,MATCH($I25,Kortingsstaffels!$B:$B,0))),0,INDEX(Kortingsstaffels!$I:$I,MATCH($I25,Kortingsstaffels!$B:$B,0)))</f>
        <v>0.1</v>
      </c>
      <c r="AC25" s="885">
        <f t="shared" ref="AC25" si="152">T25*(1-Y25)</f>
        <v>13.5</v>
      </c>
      <c r="AD25" s="495">
        <f t="shared" ref="AD25" si="153">U25*(1-Z25)</f>
        <v>13.5</v>
      </c>
      <c r="AE25" s="495">
        <f t="shared" ref="AE25" si="154">V25*(1-AA25)</f>
        <v>13.5</v>
      </c>
      <c r="AF25" s="495">
        <f t="shared" ref="AF25" si="155">W25*(1-AB25)</f>
        <v>13.5</v>
      </c>
      <c r="AG25" s="879">
        <f t="shared" ref="AG25" si="156">SUM(AC25:AF25)</f>
        <v>54</v>
      </c>
      <c r="AH25" s="886">
        <f>INDEX('Hulpblad inkooptarieven'!$D:$D,MATCH('Rekenblad Verkeer'!$AH$3,'Hulpblad inkooptarieven'!$A:$A,0))*K25</f>
        <v>2.302</v>
      </c>
      <c r="AI25" s="495">
        <f>INDEX('Hulpblad inkooptarieven'!D:D,MATCH('Rekenblad Verkeer'!$AI$3,'Hulpblad inkooptarieven'!$A:$A,0))*M25</f>
        <v>2.4020000000000001</v>
      </c>
      <c r="AJ25" s="495">
        <f>INDEX('Hulpblad inkooptarieven'!D:D,MATCH('Rekenblad Verkeer'!$AJ$3,'Hulpblad inkooptarieven'!$A:$A,0))*(O25+R25)</f>
        <v>5.3746650000000002</v>
      </c>
      <c r="AK25" s="495">
        <f>INDEX('Hulpblad inkooptarieven'!D:D,MATCH('Rekenblad Verkeer'!$AK$3,'Hulpblad inkooptarieven'!$A:$A,0))*Q25</f>
        <v>12.5</v>
      </c>
      <c r="AL25" s="879">
        <f t="shared" ref="AL25" si="157">SUM(AH25:AK25)</f>
        <v>22.578665000000001</v>
      </c>
      <c r="AM25" s="883">
        <f>AG25*Parameters!$B$3</f>
        <v>5.4</v>
      </c>
      <c r="AN25" s="888">
        <f>IF(LEFT(I25,2)="TZ",(('Vergoedingen grondslag'!$F$20+'Vergoedingen grondslag'!$I$20+'Vergoedingen grondslag'!$L$20+'Vergoedingen grondslag'!$O$20)*AG25)+('Vergoedingen grondslag'!$O$20*0+'Vergoedingen grondslag'!$R$20*0+'Vergoedingen grondslag'!$U$20*0)/Parameters!$B$9,('Vergoedingen grondslag'!$F$11+'Vergoedingen grondslag'!$I$11+'Vergoedingen grondslag'!$L$11+'Vergoedingen grondslag'!$O$11)*AG25)+('Vergoedingen grondslag'!$O$11*0+'Vergoedingen grondslag'!$R$11*0+'Vergoedingen grondslag'!$U$11+'Vergoedingen grondslag'!$X$11)/Parameters!$B$9</f>
        <v>2.2155555555555555</v>
      </c>
      <c r="AP25" s="874">
        <f t="shared" ref="AP25" si="158">SUM(AM25:AO25)</f>
        <v>7.6155555555555559</v>
      </c>
      <c r="AQ25" s="887">
        <f t="shared" ref="AQ25" si="159">AL25+AP25</f>
        <v>30.194220555555557</v>
      </c>
      <c r="AR25" s="886">
        <f t="shared" si="148"/>
        <v>23.805779444444443</v>
      </c>
      <c r="AS25" s="876">
        <f t="shared" si="149"/>
        <v>0.44084776748971194</v>
      </c>
      <c r="AT25" s="494" t="b">
        <f t="shared" si="150"/>
        <v>0</v>
      </c>
      <c r="AU25" s="882" t="s">
        <v>868</v>
      </c>
      <c r="AV25" s="96">
        <v>0</v>
      </c>
    </row>
    <row r="26" spans="1:48" s="96" customFormat="1" ht="14.4">
      <c r="A26" s="494" t="str">
        <f t="shared" si="139"/>
        <v>Zakelijk BelBasis1-jaar contract</v>
      </c>
      <c r="B26" s="869"/>
      <c r="C26" s="96" t="s">
        <v>19</v>
      </c>
      <c r="E26" s="96" t="s">
        <v>593</v>
      </c>
      <c r="H26" s="178" t="str">
        <f t="shared" si="140"/>
        <v>Zakelijk BelBasis1-jaar contract</v>
      </c>
      <c r="I26" s="494" t="str">
        <f t="shared" si="141"/>
        <v>Zakelijk BelBasis1-jaar contract</v>
      </c>
      <c r="J26" s="870">
        <f>INDEX(Verkeersprofielen!$B:$B,MATCH($H26,Verkeersprofielen!$A:$A,0))</f>
        <v>100</v>
      </c>
      <c r="K26" s="870">
        <f>INDEX(Verkeersprofielen!$C:$C,MATCH($H26,Verkeersprofielen!$A:$A,0))</f>
        <v>100</v>
      </c>
      <c r="L26" s="870">
        <f>INDEX(Verkeersprofielen!$D:$D,MATCH($H26,Verkeersprofielen!$A:$A,0))</f>
        <v>100</v>
      </c>
      <c r="M26" s="870">
        <f>INDEX(Verkeersprofielen!$E:$E,MATCH($H26,Verkeersprofielen!$A:$A,0))</f>
        <v>100</v>
      </c>
      <c r="N26" s="870">
        <f>INDEX(Verkeersprofielen!$F:$F,MATCH($H26,Verkeersprofielen!$A:$A,0))</f>
        <v>100</v>
      </c>
      <c r="O26" s="870">
        <f>INDEX(Verkeersprofielen!$G:$G,MATCH($H26,Verkeersprofielen!$A:$A,0))</f>
        <v>100</v>
      </c>
      <c r="P26" s="870">
        <f>INDEX(Verkeersprofielen!$H:$H,MATCH($H26,Verkeersprofielen!$A:$A,0))</f>
        <v>100</v>
      </c>
      <c r="Q26" s="870">
        <f>INDEX(Verkeersprofielen!$I:$I,MATCH($H26,Verkeersprofielen!$A:$A,0))</f>
        <v>100</v>
      </c>
      <c r="R26" s="870">
        <f>INDEX(Verkeersprofielen!$J:$J,MATCH($H26,Verkeersprofielen!$A:$A,0))</f>
        <v>0</v>
      </c>
      <c r="S26" s="871">
        <f>INDEX(Verkeersprofielen!$K:$K,MATCH($H26,Verkeersprofielen!$A:$A,0))</f>
        <v>0</v>
      </c>
      <c r="T26" s="883">
        <f>INDEX('Tarieven ZM'!$G:$G,MATCH($C26&amp;T$3,'Tarieven ZM'!$B:$B,0))*J26+K26*INDEX('Tarieven ZM'!$H:$H,MATCH($C26&amp;T$3,'Tarieven ZM'!$B:$B,0))</f>
        <v>15</v>
      </c>
      <c r="U26" s="873">
        <f>INDEX('Tarieven ZM'!$G:$G,MATCH($C26&amp;U$3,'Tarieven ZM'!$B:$B,0))*L26+M26*INDEX('Tarieven ZM'!$H:$H,MATCH($C26&amp;U$3,'Tarieven ZM'!$B:$B,0))</f>
        <v>15</v>
      </c>
      <c r="V26" s="873">
        <f>INDEX('Tarieven ZM'!$G:$G,MATCH($C26&amp;V$3,'Tarieven ZM'!$B:$B,0))*(N26+R26)+(O26+S26)*INDEX('Tarieven ZM'!$H:$H,MATCH($C26&amp;V$3,'Tarieven ZM'!$B:$B,0))</f>
        <v>15</v>
      </c>
      <c r="W26" s="873">
        <f>INDEX('Tarieven ZM'!$G:$G,MATCH($C26&amp;W$3,'Tarieven ZM'!$B:$B,0))*P26+Q26*INDEX('Tarieven ZM'!$H:$H,MATCH($C26&amp;W$3,'Tarieven ZM'!$B:$B,0))</f>
        <v>15</v>
      </c>
      <c r="X26" s="874">
        <f>SUM(T26:W26)</f>
        <v>60</v>
      </c>
      <c r="Y26" s="884">
        <f>IF(ISNA(INDEX(Kortingsstaffels!$F:$F,MATCH($I26,Kortingsstaffels!$B:$B,0))),0,INDEX(Kortingsstaffels!$F:$F,MATCH($I26,Kortingsstaffels!$B:$B,0)))</f>
        <v>0.01</v>
      </c>
      <c r="Z26" s="876">
        <f>IF(ISNA(INDEX(Kortingsstaffels!$G:$G,MATCH($I26,Kortingsstaffels!$B:$B,0))),0,INDEX(Kortingsstaffels!$G:$G,MATCH($I26,Kortingsstaffels!$B:$B,0)))</f>
        <v>0.01</v>
      </c>
      <c r="AA26" s="876">
        <f>IF(ISNA(INDEX(Kortingsstaffels!$H:$H,MATCH($I26,Kortingsstaffels!$B:$B,0))),0,INDEX(Kortingsstaffels!$H:$H,MATCH($I26,Kortingsstaffels!$B:$B,0)))</f>
        <v>0.01</v>
      </c>
      <c r="AB26" s="877">
        <f>IF(ISNA(INDEX(Kortingsstaffels!$I:$I,MATCH($I26,Kortingsstaffels!$B:$B,0))),0,INDEX(Kortingsstaffels!$I:$I,MATCH($I26,Kortingsstaffels!$B:$B,0)))</f>
        <v>0.01</v>
      </c>
      <c r="AC26" s="885">
        <f t="shared" ref="AC26:AF30" si="160">T26*(1-Y26)</f>
        <v>14.85</v>
      </c>
      <c r="AD26" s="495">
        <f t="shared" si="160"/>
        <v>14.85</v>
      </c>
      <c r="AE26" s="495">
        <f t="shared" si="160"/>
        <v>14.85</v>
      </c>
      <c r="AF26" s="495">
        <f t="shared" si="160"/>
        <v>14.85</v>
      </c>
      <c r="AG26" s="879">
        <f>SUM(AC26:AF26)</f>
        <v>59.4</v>
      </c>
      <c r="AH26" s="886">
        <f>INDEX('Hulpblad inkooptarieven'!$D:$D,MATCH('Rekenblad Verkeer'!$AH$3,'Hulpblad inkooptarieven'!$A:$A,0))*K26</f>
        <v>2.302</v>
      </c>
      <c r="AI26" s="495">
        <f>INDEX('Hulpblad inkooptarieven'!D:D,MATCH('Rekenblad Verkeer'!$AI$3,'Hulpblad inkooptarieven'!$A:$A,0))*M26</f>
        <v>2.4020000000000001</v>
      </c>
      <c r="AJ26" s="495">
        <f>INDEX('Hulpblad inkooptarieven'!D:D,MATCH('Rekenblad Verkeer'!$AJ$3,'Hulpblad inkooptarieven'!$A:$A,0))*(O26+R26)</f>
        <v>5.3746650000000002</v>
      </c>
      <c r="AK26" s="495">
        <f>INDEX('Hulpblad inkooptarieven'!D:D,MATCH('Rekenblad Verkeer'!$AK$3,'Hulpblad inkooptarieven'!$A:$A,0))*Q26</f>
        <v>12.5</v>
      </c>
      <c r="AL26" s="879">
        <f>SUM(AH26:AK26)</f>
        <v>22.578665000000001</v>
      </c>
      <c r="AM26" s="883">
        <f>AG26*Parameters!$B$3</f>
        <v>5.94</v>
      </c>
      <c r="AN26" s="888">
        <f>IF(LEFT(I26,2)="TZ",(('Vergoedingen grondslag'!$F$20+'Vergoedingen grondslag'!$I$20+'Vergoedingen grondslag'!$L$20+'Vergoedingen grondslag'!$O$20)*AG26)+('Vergoedingen grondslag'!$O$20*0+'Vergoedingen grondslag'!$R$20*0+'Vergoedingen grondslag'!$U$20*0)/Parameters!$B$9,('Vergoedingen grondslag'!$F$11+'Vergoedingen grondslag'!$I$11+'Vergoedingen grondslag'!$L$11+'Vergoedingen grondslag'!$O$11)*AG26)+('Vergoedingen grondslag'!$O$11*0+'Vergoedingen grondslag'!$R$11*0+'Vergoedingen grondslag'!$U$11+'Vergoedingen grondslag'!$X$11)/Parameters!$B$9</f>
        <v>2.4315555555555552</v>
      </c>
      <c r="AP26" s="874">
        <f>SUM(AM26:AO26)</f>
        <v>8.3715555555555561</v>
      </c>
      <c r="AQ26" s="887">
        <f>AL26+AP26</f>
        <v>30.950220555555557</v>
      </c>
      <c r="AR26" s="886">
        <f>AG26-AQ26</f>
        <v>28.449779444444442</v>
      </c>
      <c r="AS26" s="876">
        <f t="shared" si="149"/>
        <v>0.47895251589973808</v>
      </c>
      <c r="AT26" s="494" t="b">
        <f t="shared" si="150"/>
        <v>0</v>
      </c>
      <c r="AU26" s="882" t="s">
        <v>868</v>
      </c>
      <c r="AV26" s="96">
        <v>0</v>
      </c>
    </row>
    <row r="27" spans="1:48" s="96" customFormat="1" ht="14.4">
      <c r="A27" s="494" t="str">
        <f t="shared" si="139"/>
        <v>Zakelijk BelBasis2-jaar contract</v>
      </c>
      <c r="B27" s="869"/>
      <c r="C27" s="96" t="s">
        <v>19</v>
      </c>
      <c r="E27" s="96" t="s">
        <v>594</v>
      </c>
      <c r="H27" s="178" t="str">
        <f t="shared" si="140"/>
        <v>Zakelijk BelBasis2-jaar contract</v>
      </c>
      <c r="I27" s="494" t="str">
        <f t="shared" si="141"/>
        <v>Zakelijk BelBasis2-jaar contract</v>
      </c>
      <c r="J27" s="870">
        <f>INDEX(Verkeersprofielen!$B:$B,MATCH($H27,Verkeersprofielen!$A:$A,0))</f>
        <v>100</v>
      </c>
      <c r="K27" s="870">
        <f>INDEX(Verkeersprofielen!$C:$C,MATCH($H27,Verkeersprofielen!$A:$A,0))</f>
        <v>100</v>
      </c>
      <c r="L27" s="870">
        <f>INDEX(Verkeersprofielen!$D:$D,MATCH($H27,Verkeersprofielen!$A:$A,0))</f>
        <v>100</v>
      </c>
      <c r="M27" s="870">
        <f>INDEX(Verkeersprofielen!$E:$E,MATCH($H27,Verkeersprofielen!$A:$A,0))</f>
        <v>100</v>
      </c>
      <c r="N27" s="870">
        <f>INDEX(Verkeersprofielen!$F:$F,MATCH($H27,Verkeersprofielen!$A:$A,0))</f>
        <v>100</v>
      </c>
      <c r="O27" s="870">
        <f>INDEX(Verkeersprofielen!$G:$G,MATCH($H27,Verkeersprofielen!$A:$A,0))</f>
        <v>100</v>
      </c>
      <c r="P27" s="870">
        <f>INDEX(Verkeersprofielen!$H:$H,MATCH($H27,Verkeersprofielen!$A:$A,0))</f>
        <v>100</v>
      </c>
      <c r="Q27" s="870">
        <f>INDEX(Verkeersprofielen!$I:$I,MATCH($H27,Verkeersprofielen!$A:$A,0))</f>
        <v>100</v>
      </c>
      <c r="R27" s="870">
        <f>INDEX(Verkeersprofielen!$J:$J,MATCH($H27,Verkeersprofielen!$A:$A,0))</f>
        <v>0</v>
      </c>
      <c r="S27" s="871">
        <f>INDEX(Verkeersprofielen!$K:$K,MATCH($H27,Verkeersprofielen!$A:$A,0))</f>
        <v>0</v>
      </c>
      <c r="T27" s="883">
        <f>INDEX('Tarieven ZM'!$G:$G,MATCH($C27&amp;T$3,'Tarieven ZM'!$B:$B,0))*J27+K27*INDEX('Tarieven ZM'!$H:$H,MATCH($C27&amp;T$3,'Tarieven ZM'!$B:$B,0))</f>
        <v>15</v>
      </c>
      <c r="U27" s="873">
        <f>INDEX('Tarieven ZM'!$G:$G,MATCH($C27&amp;U$3,'Tarieven ZM'!$B:$B,0))*L27+M27*INDEX('Tarieven ZM'!$H:$H,MATCH($C27&amp;U$3,'Tarieven ZM'!$B:$B,0))</f>
        <v>15</v>
      </c>
      <c r="V27" s="873">
        <f>INDEX('Tarieven ZM'!$G:$G,MATCH($C27&amp;V$3,'Tarieven ZM'!$B:$B,0))*(N27+R27)+(O27+S27)*INDEX('Tarieven ZM'!$H:$H,MATCH($C27&amp;V$3,'Tarieven ZM'!$B:$B,0))</f>
        <v>15</v>
      </c>
      <c r="W27" s="873">
        <f>INDEX('Tarieven ZM'!$G:$G,MATCH($C27&amp;W$3,'Tarieven ZM'!$B:$B,0))*P27+Q27*INDEX('Tarieven ZM'!$H:$H,MATCH($C27&amp;W$3,'Tarieven ZM'!$B:$B,0))</f>
        <v>15</v>
      </c>
      <c r="X27" s="874">
        <f>SUM(T27:W27)</f>
        <v>60</v>
      </c>
      <c r="Y27" s="884">
        <f>IF(ISNA(INDEX(Kortingsstaffels!$F:$F,MATCH($I27,Kortingsstaffels!$B:$B,0))),0,INDEX(Kortingsstaffels!$F:$F,MATCH($I27,Kortingsstaffels!$B:$B,0)))</f>
        <v>0.02</v>
      </c>
      <c r="Z27" s="876">
        <f>IF(ISNA(INDEX(Kortingsstaffels!$G:$G,MATCH($I27,Kortingsstaffels!$B:$B,0))),0,INDEX(Kortingsstaffels!$G:$G,MATCH($I27,Kortingsstaffels!$B:$B,0)))</f>
        <v>0.02</v>
      </c>
      <c r="AA27" s="876">
        <f>IF(ISNA(INDEX(Kortingsstaffels!$H:$H,MATCH($I27,Kortingsstaffels!$B:$B,0))),0,INDEX(Kortingsstaffels!$H:$H,MATCH($I27,Kortingsstaffels!$B:$B,0)))</f>
        <v>0.02</v>
      </c>
      <c r="AB27" s="877">
        <f>IF(ISNA(INDEX(Kortingsstaffels!$I:$I,MATCH($I27,Kortingsstaffels!$B:$B,0))),0,INDEX(Kortingsstaffels!$I:$I,MATCH($I27,Kortingsstaffels!$B:$B,0)))</f>
        <v>0.02</v>
      </c>
      <c r="AC27" s="885">
        <f t="shared" si="160"/>
        <v>14.7</v>
      </c>
      <c r="AD27" s="495">
        <f t="shared" si="160"/>
        <v>14.7</v>
      </c>
      <c r="AE27" s="495">
        <f t="shared" si="160"/>
        <v>14.7</v>
      </c>
      <c r="AF27" s="495">
        <f t="shared" si="160"/>
        <v>14.7</v>
      </c>
      <c r="AG27" s="879">
        <f>SUM(AC27:AF27)</f>
        <v>58.8</v>
      </c>
      <c r="AH27" s="886">
        <f>INDEX('Hulpblad inkooptarieven'!$D:$D,MATCH('Rekenblad Verkeer'!$AH$3,'Hulpblad inkooptarieven'!$A:$A,0))*K27</f>
        <v>2.302</v>
      </c>
      <c r="AI27" s="495">
        <f>INDEX('Hulpblad inkooptarieven'!D:D,MATCH('Rekenblad Verkeer'!$AI$3,'Hulpblad inkooptarieven'!$A:$A,0))*M27</f>
        <v>2.4020000000000001</v>
      </c>
      <c r="AJ27" s="495">
        <f>INDEX('Hulpblad inkooptarieven'!D:D,MATCH('Rekenblad Verkeer'!$AJ$3,'Hulpblad inkooptarieven'!$A:$A,0))*(O27+R27)</f>
        <v>5.3746650000000002</v>
      </c>
      <c r="AK27" s="495">
        <f>INDEX('Hulpblad inkooptarieven'!D:D,MATCH('Rekenblad Verkeer'!$AK$3,'Hulpblad inkooptarieven'!$A:$A,0))*Q27</f>
        <v>12.5</v>
      </c>
      <c r="AL27" s="879">
        <f>SUM(AH27:AK27)</f>
        <v>22.578665000000001</v>
      </c>
      <c r="AM27" s="883">
        <f>AG27*Parameters!$B$3</f>
        <v>5.88</v>
      </c>
      <c r="AN27" s="888">
        <f>IF(LEFT(I27,2)="TZ",(('Vergoedingen grondslag'!$F$20+'Vergoedingen grondslag'!$I$20+'Vergoedingen grondslag'!$L$20+'Vergoedingen grondslag'!$O$20)*AG27)+('Vergoedingen grondslag'!$O$20*0+'Vergoedingen grondslag'!$R$20*0+'Vergoedingen grondslag'!$U$20*0)/Parameters!$B$9,('Vergoedingen grondslag'!$F$11+'Vergoedingen grondslag'!$I$11+'Vergoedingen grondslag'!$L$11+'Vergoedingen grondslag'!$O$11)*AG27)+('Vergoedingen grondslag'!$O$11*0+'Vergoedingen grondslag'!$R$11*0+'Vergoedingen grondslag'!$U$11+'Vergoedingen grondslag'!$X$11)/Parameters!$B$9</f>
        <v>2.4075555555555552</v>
      </c>
      <c r="AP27" s="874">
        <f>SUM(AM27:AO27)</f>
        <v>8.2875555555555547</v>
      </c>
      <c r="AQ27" s="887">
        <f>AL27+AP27</f>
        <v>30.866220555555557</v>
      </c>
      <c r="AR27" s="886">
        <f>AG27-AQ27</f>
        <v>27.93377944444444</v>
      </c>
      <c r="AS27" s="876">
        <f t="shared" si="149"/>
        <v>0.4750642762660619</v>
      </c>
      <c r="AT27" s="494" t="b">
        <f t="shared" si="150"/>
        <v>0</v>
      </c>
      <c r="AU27" s="882" t="s">
        <v>868</v>
      </c>
      <c r="AV27" s="96">
        <v>0</v>
      </c>
    </row>
    <row r="28" spans="1:48" s="96" customFormat="1" ht="14.4">
      <c r="A28" s="494" t="str">
        <f t="shared" si="139"/>
        <v>Zakelijk BelBasis3-jaar contract</v>
      </c>
      <c r="B28" s="869"/>
      <c r="C28" s="96" t="s">
        <v>19</v>
      </c>
      <c r="E28" s="96" t="s">
        <v>595</v>
      </c>
      <c r="H28" s="178" t="str">
        <f t="shared" si="140"/>
        <v>Zakelijk BelBasis3-jaar contract</v>
      </c>
      <c r="I28" s="494" t="str">
        <f>C28&amp;E28&amp;G28</f>
        <v>Zakelijk BelBasis3-jaar contract</v>
      </c>
      <c r="J28" s="870">
        <f>INDEX(Verkeersprofielen!$B:$B,MATCH($H28,Verkeersprofielen!$A:$A,0))</f>
        <v>100</v>
      </c>
      <c r="K28" s="870">
        <f>INDEX(Verkeersprofielen!$C:$C,MATCH($H28,Verkeersprofielen!$A:$A,0))</f>
        <v>100</v>
      </c>
      <c r="L28" s="870">
        <f>INDEX(Verkeersprofielen!$D:$D,MATCH($H28,Verkeersprofielen!$A:$A,0))</f>
        <v>100</v>
      </c>
      <c r="M28" s="870">
        <f>INDEX(Verkeersprofielen!$E:$E,MATCH($H28,Verkeersprofielen!$A:$A,0))</f>
        <v>100</v>
      </c>
      <c r="N28" s="870">
        <f>INDEX(Verkeersprofielen!$F:$F,MATCH($H28,Verkeersprofielen!$A:$A,0))</f>
        <v>100</v>
      </c>
      <c r="O28" s="870">
        <f>INDEX(Verkeersprofielen!$G:$G,MATCH($H28,Verkeersprofielen!$A:$A,0))</f>
        <v>100</v>
      </c>
      <c r="P28" s="870">
        <f>INDEX(Verkeersprofielen!$H:$H,MATCH($H28,Verkeersprofielen!$A:$A,0))</f>
        <v>100</v>
      </c>
      <c r="Q28" s="870">
        <f>INDEX(Verkeersprofielen!$I:$I,MATCH($H28,Verkeersprofielen!$A:$A,0))</f>
        <v>100</v>
      </c>
      <c r="R28" s="870">
        <f>INDEX(Verkeersprofielen!$J:$J,MATCH($H28,Verkeersprofielen!$A:$A,0))</f>
        <v>0</v>
      </c>
      <c r="S28" s="871">
        <f>INDEX(Verkeersprofielen!$K:$K,MATCH($H28,Verkeersprofielen!$A:$A,0))</f>
        <v>0</v>
      </c>
      <c r="T28" s="883">
        <f>INDEX('Tarieven ZM'!$G:$G,MATCH($C28&amp;T$3,'Tarieven ZM'!$B:$B,0))*J28+K28*INDEX('Tarieven ZM'!$H:$H,MATCH($C28&amp;T$3,'Tarieven ZM'!$B:$B,0))</f>
        <v>15</v>
      </c>
      <c r="U28" s="873">
        <f>INDEX('Tarieven ZM'!$G:$G,MATCH($C28&amp;U$3,'Tarieven ZM'!$B:$B,0))*L28+M28*INDEX('Tarieven ZM'!$H:$H,MATCH($C28&amp;U$3,'Tarieven ZM'!$B:$B,0))</f>
        <v>15</v>
      </c>
      <c r="V28" s="873">
        <f>INDEX('Tarieven ZM'!$G:$G,MATCH($C28&amp;V$3,'Tarieven ZM'!$B:$B,0))*(N28+R28)+(O28+S28)*INDEX('Tarieven ZM'!$H:$H,MATCH($C28&amp;V$3,'Tarieven ZM'!$B:$B,0))</f>
        <v>15</v>
      </c>
      <c r="W28" s="873">
        <f>INDEX('Tarieven ZM'!$G:$G,MATCH($C28&amp;W$3,'Tarieven ZM'!$B:$B,0))*P28+Q28*INDEX('Tarieven ZM'!$H:$H,MATCH($C28&amp;W$3,'Tarieven ZM'!$B:$B,0))</f>
        <v>15</v>
      </c>
      <c r="X28" s="874">
        <f>SUM(T28:W28)</f>
        <v>60</v>
      </c>
      <c r="Y28" s="884">
        <f>IF(ISNA(INDEX(Kortingsstaffels!$F:$F,MATCH($I28,Kortingsstaffels!$B:$B,0))),0,INDEX(Kortingsstaffels!$F:$F,MATCH($I28,Kortingsstaffels!$B:$B,0)))</f>
        <v>0.03</v>
      </c>
      <c r="Z28" s="876">
        <f>IF(ISNA(INDEX(Kortingsstaffels!$G:$G,MATCH($I28,Kortingsstaffels!$B:$B,0))),0,INDEX(Kortingsstaffels!$G:$G,MATCH($I28,Kortingsstaffels!$B:$B,0)))</f>
        <v>0.03</v>
      </c>
      <c r="AA28" s="876">
        <f>IF(ISNA(INDEX(Kortingsstaffels!$H:$H,MATCH($I28,Kortingsstaffels!$B:$B,0))),0,INDEX(Kortingsstaffels!$H:$H,MATCH($I28,Kortingsstaffels!$B:$B,0)))</f>
        <v>0.03</v>
      </c>
      <c r="AB28" s="877">
        <f>IF(ISNA(INDEX(Kortingsstaffels!$I:$I,MATCH($I28,Kortingsstaffels!$B:$B,0))),0,INDEX(Kortingsstaffels!$I:$I,MATCH($I28,Kortingsstaffels!$B:$B,0)))</f>
        <v>0.03</v>
      </c>
      <c r="AC28" s="885">
        <f t="shared" si="160"/>
        <v>14.549999999999999</v>
      </c>
      <c r="AD28" s="495">
        <f t="shared" si="160"/>
        <v>14.549999999999999</v>
      </c>
      <c r="AE28" s="495">
        <f t="shared" si="160"/>
        <v>14.549999999999999</v>
      </c>
      <c r="AF28" s="495">
        <f t="shared" si="160"/>
        <v>14.549999999999999</v>
      </c>
      <c r="AG28" s="879">
        <f>SUM(AC28:AF28)</f>
        <v>58.199999999999996</v>
      </c>
      <c r="AH28" s="886">
        <f>INDEX('Hulpblad inkooptarieven'!$D:$D,MATCH('Rekenblad Verkeer'!$AH$3,'Hulpblad inkooptarieven'!$A:$A,0))*K28</f>
        <v>2.302</v>
      </c>
      <c r="AI28" s="495">
        <f>INDEX('Hulpblad inkooptarieven'!D:D,MATCH('Rekenblad Verkeer'!$AI$3,'Hulpblad inkooptarieven'!$A:$A,0))*M28</f>
        <v>2.4020000000000001</v>
      </c>
      <c r="AJ28" s="495">
        <f>INDEX('Hulpblad inkooptarieven'!D:D,MATCH('Rekenblad Verkeer'!$AJ$3,'Hulpblad inkooptarieven'!$A:$A,0))*(O28+R28)</f>
        <v>5.3746650000000002</v>
      </c>
      <c r="AK28" s="495">
        <f>INDEX('Hulpblad inkooptarieven'!D:D,MATCH('Rekenblad Verkeer'!$AK$3,'Hulpblad inkooptarieven'!$A:$A,0))*Q28</f>
        <v>12.5</v>
      </c>
      <c r="AL28" s="879">
        <f>SUM(AH28:AK28)</f>
        <v>22.578665000000001</v>
      </c>
      <c r="AM28" s="883">
        <f>AG28*Parameters!$B$3</f>
        <v>5.82</v>
      </c>
      <c r="AN28" s="888">
        <f>IF(LEFT(I28,2)="TZ",(('Vergoedingen grondslag'!$F$20+'Vergoedingen grondslag'!$I$20+'Vergoedingen grondslag'!$L$20+'Vergoedingen grondslag'!$O$20)*AG28)+('Vergoedingen grondslag'!$O$20*0+'Vergoedingen grondslag'!$R$20*0+'Vergoedingen grondslag'!$U$20*0)/Parameters!$B$9,('Vergoedingen grondslag'!$F$11+'Vergoedingen grondslag'!$I$11+'Vergoedingen grondslag'!$L$11+'Vergoedingen grondslag'!$O$11)*AG28)+('Vergoedingen grondslag'!$O$11*0+'Vergoedingen grondslag'!$R$11*0+'Vergoedingen grondslag'!$U$11+'Vergoedingen grondslag'!$X$11)/Parameters!$B$9</f>
        <v>2.3835555555555552</v>
      </c>
      <c r="AP28" s="874">
        <f>SUM(AM28:AO28)</f>
        <v>8.203555555555555</v>
      </c>
      <c r="AQ28" s="887">
        <f>AL28+AP28</f>
        <v>30.782220555555554</v>
      </c>
      <c r="AR28" s="886">
        <f>AG28-AQ28</f>
        <v>27.417779444444442</v>
      </c>
      <c r="AS28" s="876">
        <f t="shared" si="149"/>
        <v>0.47109586674303167</v>
      </c>
      <c r="AT28" s="494" t="b">
        <f t="shared" si="150"/>
        <v>0</v>
      </c>
      <c r="AU28" s="882" t="s">
        <v>868</v>
      </c>
      <c r="AV28" s="96">
        <v>0</v>
      </c>
    </row>
    <row r="29" spans="1:48" s="96" customFormat="1" ht="14.4">
      <c r="A29" s="494" t="str">
        <f t="shared" si="139"/>
        <v>ZBTPSTN100IDD contractsduurkorting</v>
      </c>
      <c r="B29" s="494"/>
      <c r="C29" s="96" t="s">
        <v>488</v>
      </c>
      <c r="D29" s="96" t="s">
        <v>463</v>
      </c>
      <c r="F29" s="96">
        <v>100</v>
      </c>
      <c r="G29" s="178" t="s">
        <v>1271</v>
      </c>
      <c r="H29" s="178" t="str">
        <f t="shared" ref="H29" si="161">C29&amp;D29&amp;E29&amp;F29</f>
        <v>ZBTPSTN100</v>
      </c>
      <c r="I29" s="494" t="str">
        <f t="shared" ref="I29" si="162">C29&amp;E29&amp;G29</f>
        <v>ZBTIDD contractsduurkorting</v>
      </c>
      <c r="J29" s="870">
        <f>INDEX(Verkeersprofielen!$B:$B,MATCH($H29,Verkeersprofielen!$A:$A,0))</f>
        <v>100</v>
      </c>
      <c r="K29" s="870">
        <f>INDEX(Verkeersprofielen!$C:$C,MATCH($H29,Verkeersprofielen!$A:$A,0))</f>
        <v>100</v>
      </c>
      <c r="L29" s="870">
        <f>INDEX(Verkeersprofielen!$D:$D,MATCH($H29,Verkeersprofielen!$A:$A,0))</f>
        <v>100</v>
      </c>
      <c r="M29" s="870">
        <f>INDEX(Verkeersprofielen!$E:$E,MATCH($H29,Verkeersprofielen!$A:$A,0))</f>
        <v>100</v>
      </c>
      <c r="N29" s="870">
        <f>INDEX(Verkeersprofielen!$F:$F,MATCH($H29,Verkeersprofielen!$A:$A,0))</f>
        <v>100</v>
      </c>
      <c r="O29" s="870">
        <f>INDEX(Verkeersprofielen!$G:$G,MATCH($H29,Verkeersprofielen!$A:$A,0))</f>
        <v>100</v>
      </c>
      <c r="P29" s="870">
        <f>INDEX(Verkeersprofielen!$H:$H,MATCH($H29,Verkeersprofielen!$A:$A,0))</f>
        <v>100</v>
      </c>
      <c r="Q29" s="870">
        <f>INDEX(Verkeersprofielen!$I:$I,MATCH($H29,Verkeersprofielen!$A:$A,0))</f>
        <v>100</v>
      </c>
      <c r="R29" s="870">
        <f>INDEX(Verkeersprofielen!$J:$J,MATCH($H29,Verkeersprofielen!$A:$A,0))</f>
        <v>0</v>
      </c>
      <c r="S29" s="871">
        <f>INDEX(Verkeersprofielen!$K:$K,MATCH($H29,Verkeersprofielen!$A:$A,0))</f>
        <v>0</v>
      </c>
      <c r="T29" s="883">
        <f>INDEX('Tarieven ZM'!$G:$G,MATCH($C29&amp;T$3,'Tarieven ZM'!$B:$B,0))*J29+K29*INDEX('Tarieven ZM'!$H:$H,MATCH($C29&amp;T$3,'Tarieven ZM'!$B:$B,0))</f>
        <v>15</v>
      </c>
      <c r="U29" s="873">
        <f>INDEX('Tarieven ZM'!$G:$G,MATCH($C29&amp;U$3,'Tarieven ZM'!$B:$B,0))*L29+M29*INDEX('Tarieven ZM'!$H:$H,MATCH($C29&amp;U$3,'Tarieven ZM'!$B:$B,0))</f>
        <v>15</v>
      </c>
      <c r="V29" s="873">
        <f>INDEX('Tarieven ZM'!$G:$G,MATCH($C29&amp;V$3,'Tarieven ZM'!$B:$B,0))*(N29+R29)+(O29+S29)*INDEX('Tarieven ZM'!$H:$H,MATCH($C29&amp;V$3,'Tarieven ZM'!$B:$B,0))</f>
        <v>15</v>
      </c>
      <c r="W29" s="873">
        <f>INDEX('Tarieven ZM'!$G:$G,MATCH($C29&amp;W$3,'Tarieven ZM'!$B:$B,0))*P29+Q29*INDEX('Tarieven ZM'!$H:$H,MATCH($C29&amp;W$3,'Tarieven ZM'!$B:$B,0))</f>
        <v>15</v>
      </c>
      <c r="X29" s="874">
        <f t="shared" ref="X29" si="163">SUM(T29:W29)</f>
        <v>60</v>
      </c>
      <c r="Y29" s="884">
        <f>IF(ISNA(INDEX(Kortingsstaffels!$F:$F,MATCH($I29,Kortingsstaffels!$B:$B,0))),0,INDEX(Kortingsstaffels!$F:$F,MATCH($I29,Kortingsstaffels!$B:$B,0)))</f>
        <v>0</v>
      </c>
      <c r="Z29" s="876">
        <f>IF(ISNA(INDEX(Kortingsstaffels!$G:$G,MATCH($I29,Kortingsstaffels!$B:$B,0))),0,INDEX(Kortingsstaffels!$G:$G,MATCH($I29,Kortingsstaffels!$B:$B,0)))</f>
        <v>0</v>
      </c>
      <c r="AA29" s="876">
        <f>IF(ISNA(INDEX(Kortingsstaffels!$H:$H,MATCH($I29,Kortingsstaffels!$B:$B,0))),0,INDEX(Kortingsstaffels!$H:$H,MATCH($I29,Kortingsstaffels!$B:$B,0)))</f>
        <v>0</v>
      </c>
      <c r="AB29" s="877">
        <f>IF(ISNA(INDEX(Kortingsstaffels!$I:$I,MATCH($I29,Kortingsstaffels!$B:$B,0))),0,INDEX(Kortingsstaffels!$I:$I,MATCH($I29,Kortingsstaffels!$B:$B,0)))</f>
        <v>0.1</v>
      </c>
      <c r="AC29" s="885">
        <f t="shared" ref="AC29" si="164">T29*(1-Y29)</f>
        <v>15</v>
      </c>
      <c r="AD29" s="495">
        <f t="shared" ref="AD29" si="165">U29*(1-Z29)</f>
        <v>15</v>
      </c>
      <c r="AE29" s="495">
        <f t="shared" ref="AE29" si="166">V29*(1-AA29)</f>
        <v>15</v>
      </c>
      <c r="AF29" s="495">
        <f t="shared" ref="AF29" si="167">W29*(1-AB29)</f>
        <v>13.5</v>
      </c>
      <c r="AG29" s="879">
        <f t="shared" ref="AG29" si="168">SUM(AC29:AF29)</f>
        <v>58.5</v>
      </c>
      <c r="AH29" s="886">
        <f>INDEX('Hulpblad inkooptarieven'!$D:$D,MATCH('Rekenblad Verkeer'!$AH$3,'Hulpblad inkooptarieven'!$A:$A,0))*K29</f>
        <v>2.302</v>
      </c>
      <c r="AI29" s="495">
        <f>INDEX('Hulpblad inkooptarieven'!D:D,MATCH('Rekenblad Verkeer'!$AI$3,'Hulpblad inkooptarieven'!$A:$A,0))*M29</f>
        <v>2.4020000000000001</v>
      </c>
      <c r="AJ29" s="495">
        <f>INDEX('Hulpblad inkooptarieven'!D:D,MATCH('Rekenblad Verkeer'!$AJ$3,'Hulpblad inkooptarieven'!$A:$A,0))*(O29+R29)</f>
        <v>5.3746650000000002</v>
      </c>
      <c r="AK29" s="495">
        <f>INDEX('Hulpblad inkooptarieven'!D:D,MATCH('Rekenblad Verkeer'!$AK$3,'Hulpblad inkooptarieven'!$A:$A,0))*Q29</f>
        <v>12.5</v>
      </c>
      <c r="AL29" s="879">
        <f t="shared" ref="AL29" si="169">SUM(AH29:AK29)</f>
        <v>22.578665000000001</v>
      </c>
      <c r="AM29" s="883">
        <f>AG29*Parameters!$B$3</f>
        <v>5.8500000000000005</v>
      </c>
      <c r="AN29" s="888">
        <f>IF(LEFT(I29,2)="TZ",(('Vergoedingen grondslag'!$F$20+'Vergoedingen grondslag'!$I$20+'Vergoedingen grondslag'!$L$20+'Vergoedingen grondslag'!$O$20)*AG29)+('Vergoedingen grondslag'!$O$20*0+'Vergoedingen grondslag'!$R$20*0+'Vergoedingen grondslag'!$U$20*0)/Parameters!$B$9,('Vergoedingen grondslag'!$F$11+'Vergoedingen grondslag'!$I$11+'Vergoedingen grondslag'!$L$11+'Vergoedingen grondslag'!$O$11)*AG29)+('Vergoedingen grondslag'!$O$11*0+'Vergoedingen grondslag'!$R$11*0+'Vergoedingen grondslag'!$U$11+'Vergoedingen grondslag'!$X$11)/Parameters!$B$9</f>
        <v>2.3955555555555552</v>
      </c>
      <c r="AP29" s="874">
        <f t="shared" ref="AP29" si="170">SUM(AM29:AO29)</f>
        <v>8.2455555555555549</v>
      </c>
      <c r="AQ29" s="887">
        <f t="shared" ref="AQ29" si="171">AL29+AP29</f>
        <v>30.824220555555556</v>
      </c>
      <c r="AR29" s="886">
        <f t="shared" ref="AR29" si="172">AG29-AQ29</f>
        <v>27.675779444444444</v>
      </c>
      <c r="AS29" s="876">
        <f t="shared" ref="AS29" si="173">IFERROR(AR29/AG29,"")</f>
        <v>0.47309024691358026</v>
      </c>
      <c r="AT29" s="494" t="b">
        <f t="shared" ref="AT29" si="174">AR29&lt;0</f>
        <v>0</v>
      </c>
      <c r="AU29" s="882" t="s">
        <v>868</v>
      </c>
      <c r="AV29" s="96">
        <v>1</v>
      </c>
    </row>
    <row r="30" spans="1:48" s="96" customFormat="1" ht="14.4">
      <c r="A30" s="869" t="str">
        <f t="shared" si="139"/>
        <v>ZBTISDN1100IDD contractsduurkorting</v>
      </c>
      <c r="B30" s="494"/>
      <c r="C30" s="493" t="s">
        <v>488</v>
      </c>
      <c r="D30" s="178" t="s">
        <v>464</v>
      </c>
      <c r="E30" s="178"/>
      <c r="F30" s="96">
        <v>100</v>
      </c>
      <c r="G30" s="178" t="s">
        <v>1271</v>
      </c>
      <c r="H30" s="178" t="str">
        <f t="shared" si="140"/>
        <v>ZBTISDN1100</v>
      </c>
      <c r="I30" s="494" t="str">
        <f t="shared" ref="I30:I31" si="175">C30&amp;E30&amp;G30</f>
        <v>ZBTIDD contractsduurkorting</v>
      </c>
      <c r="J30" s="870">
        <f>INDEX(Verkeersprofielen!$B:$B,MATCH($H30,Verkeersprofielen!$A:$A,0))</f>
        <v>100</v>
      </c>
      <c r="K30" s="870">
        <f>INDEX(Verkeersprofielen!$C:$C,MATCH($H30,Verkeersprofielen!$A:$A,0))</f>
        <v>100</v>
      </c>
      <c r="L30" s="870">
        <f>INDEX(Verkeersprofielen!$D:$D,MATCH($H30,Verkeersprofielen!$A:$A,0))</f>
        <v>100</v>
      </c>
      <c r="M30" s="870">
        <f>INDEX(Verkeersprofielen!$E:$E,MATCH($H30,Verkeersprofielen!$A:$A,0))</f>
        <v>100</v>
      </c>
      <c r="N30" s="870">
        <f>INDEX(Verkeersprofielen!$F:$F,MATCH($H30,Verkeersprofielen!$A:$A,0))</f>
        <v>100</v>
      </c>
      <c r="O30" s="870">
        <f>INDEX(Verkeersprofielen!$G:$G,MATCH($H30,Verkeersprofielen!$A:$A,0))</f>
        <v>100</v>
      </c>
      <c r="P30" s="870">
        <f>INDEX(Verkeersprofielen!$H:$H,MATCH($H30,Verkeersprofielen!$A:$A,0))</f>
        <v>100</v>
      </c>
      <c r="Q30" s="870">
        <f>INDEX(Verkeersprofielen!$I:$I,MATCH($H30,Verkeersprofielen!$A:$A,0))</f>
        <v>100</v>
      </c>
      <c r="R30" s="870">
        <f>INDEX(Verkeersprofielen!$J:$J,MATCH($H30,Verkeersprofielen!$A:$A,0))</f>
        <v>0</v>
      </c>
      <c r="S30" s="871">
        <f>INDEX(Verkeersprofielen!$K:$K,MATCH($H30,Verkeersprofielen!$A:$A,0))</f>
        <v>0</v>
      </c>
      <c r="T30" s="883">
        <f>INDEX('Tarieven ZM'!$G:$G,MATCH($C30&amp;T$3,'Tarieven ZM'!$B:$B,0))*J30+K30*INDEX('Tarieven ZM'!$H:$H,MATCH($C30&amp;T$3,'Tarieven ZM'!$B:$B,0))</f>
        <v>15</v>
      </c>
      <c r="U30" s="873">
        <f>INDEX('Tarieven ZM'!$G:$G,MATCH($C30&amp;U$3,'Tarieven ZM'!$B:$B,0))*L30+M30*INDEX('Tarieven ZM'!$H:$H,MATCH($C30&amp;U$3,'Tarieven ZM'!$B:$B,0))</f>
        <v>15</v>
      </c>
      <c r="V30" s="873">
        <f>INDEX('Tarieven ZM'!$G:$G,MATCH($C30&amp;V$3,'Tarieven ZM'!$B:$B,0))*(N30+R30)+(O30+S30)*INDEX('Tarieven ZM'!$H:$H,MATCH($C30&amp;V$3,'Tarieven ZM'!$B:$B,0))</f>
        <v>15</v>
      </c>
      <c r="W30" s="873">
        <f>INDEX('Tarieven ZM'!$G:$G,MATCH($C30&amp;W$3,'Tarieven ZM'!$B:$B,0))*P30+Q30*INDEX('Tarieven ZM'!$H:$H,MATCH($C30&amp;W$3,'Tarieven ZM'!$B:$B,0))</f>
        <v>15</v>
      </c>
      <c r="X30" s="874">
        <f>SUM(T30:W30)</f>
        <v>60</v>
      </c>
      <c r="Y30" s="884">
        <f>IF(ISNA(INDEX(Kortingsstaffels!$F:$F,MATCH($I30,Kortingsstaffels!$B:$B,0))),0,INDEX(Kortingsstaffels!$F:$F,MATCH($I30,Kortingsstaffels!$B:$B,0)))</f>
        <v>0</v>
      </c>
      <c r="Z30" s="876">
        <f>IF(ISNA(INDEX(Kortingsstaffels!$G:$G,MATCH($I30,Kortingsstaffels!$B:$B,0))),0,INDEX(Kortingsstaffels!$G:$G,MATCH($I30,Kortingsstaffels!$B:$B,0)))</f>
        <v>0</v>
      </c>
      <c r="AA30" s="876">
        <f>IF(ISNA(INDEX(Kortingsstaffels!$H:$H,MATCH($I30,Kortingsstaffels!$B:$B,0))),0,INDEX(Kortingsstaffels!$H:$H,MATCH($I30,Kortingsstaffels!$B:$B,0)))</f>
        <v>0</v>
      </c>
      <c r="AB30" s="877">
        <f>IF(ISNA(INDEX(Kortingsstaffels!$I:$I,MATCH($I30,Kortingsstaffels!$B:$B,0))),0,INDEX(Kortingsstaffels!$I:$I,MATCH($I30,Kortingsstaffels!$B:$B,0)))</f>
        <v>0.1</v>
      </c>
      <c r="AC30" s="885">
        <f t="shared" si="160"/>
        <v>15</v>
      </c>
      <c r="AD30" s="495">
        <f t="shared" si="160"/>
        <v>15</v>
      </c>
      <c r="AE30" s="495">
        <f t="shared" si="160"/>
        <v>15</v>
      </c>
      <c r="AF30" s="495">
        <f t="shared" si="160"/>
        <v>13.5</v>
      </c>
      <c r="AG30" s="879">
        <f>SUM(AC30:AF30)</f>
        <v>58.5</v>
      </c>
      <c r="AH30" s="886">
        <f>INDEX('Hulpblad inkooptarieven'!$D:$D,MATCH('Rekenblad Verkeer'!$AH$3,'Hulpblad inkooptarieven'!$A:$A,0))*K30</f>
        <v>2.302</v>
      </c>
      <c r="AI30" s="495">
        <f>INDEX('Hulpblad inkooptarieven'!D:D,MATCH('Rekenblad Verkeer'!$AI$3,'Hulpblad inkooptarieven'!$A:$A,0))*M30</f>
        <v>2.4020000000000001</v>
      </c>
      <c r="AJ30" s="495">
        <f>INDEX('Hulpblad inkooptarieven'!D:D,MATCH('Rekenblad Verkeer'!$AJ$3,'Hulpblad inkooptarieven'!$A:$A,0))*(O30+R30)</f>
        <v>5.3746650000000002</v>
      </c>
      <c r="AK30" s="495">
        <f>INDEX('Hulpblad inkooptarieven'!D:D,MATCH('Rekenblad Verkeer'!$AK$3,'Hulpblad inkooptarieven'!$A:$A,0))*Q30</f>
        <v>12.5</v>
      </c>
      <c r="AL30" s="879">
        <f>SUM(AH30:AK30)</f>
        <v>22.578665000000001</v>
      </c>
      <c r="AM30" s="883">
        <f>AG30*Parameters!$B$3</f>
        <v>5.8500000000000005</v>
      </c>
      <c r="AN30" s="888">
        <f>IF(LEFT(I30,2)="TZ",(('Vergoedingen grondslag'!$F$20+'Vergoedingen grondslag'!$I$20+'Vergoedingen grondslag'!$L$20+'Vergoedingen grondslag'!$O$20)*AG30)+('Vergoedingen grondslag'!$O$20*0+'Vergoedingen grondslag'!$R$20*0+'Vergoedingen grondslag'!$U$20*0)/Parameters!$B$9,('Vergoedingen grondslag'!$F$11+'Vergoedingen grondslag'!$I$11+'Vergoedingen grondslag'!$L$11+'Vergoedingen grondslag'!$O$11)*AG30)+('Vergoedingen grondslag'!$O$11*0+'Vergoedingen grondslag'!$R$11*0+'Vergoedingen grondslag'!$U$11+'Vergoedingen grondslag'!$X$11)/Parameters!$B$9</f>
        <v>2.3955555555555552</v>
      </c>
      <c r="AP30" s="874">
        <f>SUM(AM30:AO30)</f>
        <v>8.2455555555555549</v>
      </c>
      <c r="AQ30" s="887">
        <f>AL30+AP30</f>
        <v>30.824220555555556</v>
      </c>
      <c r="AR30" s="886">
        <f>AG30-AQ30</f>
        <v>27.675779444444444</v>
      </c>
      <c r="AS30" s="876">
        <f t="shared" si="149"/>
        <v>0.47309024691358026</v>
      </c>
      <c r="AT30" s="494" t="b">
        <f t="shared" si="150"/>
        <v>0</v>
      </c>
      <c r="AU30" s="882" t="s">
        <v>868</v>
      </c>
      <c r="AV30" s="96">
        <v>1</v>
      </c>
    </row>
    <row r="31" spans="1:48" s="96" customFormat="1" ht="14.4">
      <c r="A31" s="869" t="str">
        <f t="shared" ref="A31" si="176">C31&amp;D31&amp;E31&amp;F31&amp;G31</f>
        <v>ZBTISDN2100IDD contractsduurkorting</v>
      </c>
      <c r="B31" s="494"/>
      <c r="C31" s="493" t="s">
        <v>488</v>
      </c>
      <c r="D31" s="178" t="s">
        <v>465</v>
      </c>
      <c r="E31" s="178"/>
      <c r="F31" s="96">
        <v>100</v>
      </c>
      <c r="G31" s="178" t="s">
        <v>1271</v>
      </c>
      <c r="H31" s="178" t="str">
        <f t="shared" si="140"/>
        <v>ZBTISDN2100</v>
      </c>
      <c r="I31" s="494" t="str">
        <f t="shared" si="175"/>
        <v>ZBTIDD contractsduurkorting</v>
      </c>
      <c r="J31" s="870">
        <f>INDEX(Verkeersprofielen!$B:$B,MATCH($H31,Verkeersprofielen!$A:$A,0))</f>
        <v>100</v>
      </c>
      <c r="K31" s="870">
        <f>INDEX(Verkeersprofielen!$C:$C,MATCH($H31,Verkeersprofielen!$A:$A,0))</f>
        <v>100</v>
      </c>
      <c r="L31" s="870">
        <f>INDEX(Verkeersprofielen!$D:$D,MATCH($H31,Verkeersprofielen!$A:$A,0))</f>
        <v>100</v>
      </c>
      <c r="M31" s="870">
        <f>INDEX(Verkeersprofielen!$E:$E,MATCH($H31,Verkeersprofielen!$A:$A,0))</f>
        <v>100</v>
      </c>
      <c r="N31" s="870">
        <f>INDEX(Verkeersprofielen!$F:$F,MATCH($H31,Verkeersprofielen!$A:$A,0))</f>
        <v>100</v>
      </c>
      <c r="O31" s="870">
        <f>INDEX(Verkeersprofielen!$G:$G,MATCH($H31,Verkeersprofielen!$A:$A,0))</f>
        <v>100</v>
      </c>
      <c r="P31" s="870">
        <f>INDEX(Verkeersprofielen!$H:$H,MATCH($H31,Verkeersprofielen!$A:$A,0))</f>
        <v>100</v>
      </c>
      <c r="Q31" s="870">
        <f>INDEX(Verkeersprofielen!$I:$I,MATCH($H31,Verkeersprofielen!$A:$A,0))</f>
        <v>100</v>
      </c>
      <c r="R31" s="870">
        <f>INDEX(Verkeersprofielen!$J:$J,MATCH($H31,Verkeersprofielen!$A:$A,0))</f>
        <v>0</v>
      </c>
      <c r="S31" s="871">
        <f>INDEX(Verkeersprofielen!$K:$K,MATCH($H31,Verkeersprofielen!$A:$A,0))</f>
        <v>0</v>
      </c>
      <c r="T31" s="883">
        <f>INDEX('Tarieven ZM'!$G:$G,MATCH($C31&amp;T$3,'Tarieven ZM'!$B:$B,0))*J31+K31*INDEX('Tarieven ZM'!$H:$H,MATCH($C31&amp;T$3,'Tarieven ZM'!$B:$B,0))</f>
        <v>15</v>
      </c>
      <c r="U31" s="873">
        <f>INDEX('Tarieven ZM'!$G:$G,MATCH($C31&amp;U$3,'Tarieven ZM'!$B:$B,0))*L31+M31*INDEX('Tarieven ZM'!$H:$H,MATCH($C31&amp;U$3,'Tarieven ZM'!$B:$B,0))</f>
        <v>15</v>
      </c>
      <c r="V31" s="873">
        <f>INDEX('Tarieven ZM'!$G:$G,MATCH($C31&amp;V$3,'Tarieven ZM'!$B:$B,0))*(N31+R31)+(O31+S31)*INDEX('Tarieven ZM'!$H:$H,MATCH($C31&amp;V$3,'Tarieven ZM'!$B:$B,0))</f>
        <v>15</v>
      </c>
      <c r="W31" s="873">
        <f>INDEX('Tarieven ZM'!$G:$G,MATCH($C31&amp;W$3,'Tarieven ZM'!$B:$B,0))*P31+Q31*INDEX('Tarieven ZM'!$H:$H,MATCH($C31&amp;W$3,'Tarieven ZM'!$B:$B,0))</f>
        <v>15</v>
      </c>
      <c r="X31" s="874">
        <f t="shared" ref="X31" si="177">SUM(T31:W31)</f>
        <v>60</v>
      </c>
      <c r="Y31" s="884">
        <f>IF(ISNA(INDEX(Kortingsstaffels!$F:$F,MATCH($I31,Kortingsstaffels!$B:$B,0))),0,INDEX(Kortingsstaffels!$F:$F,MATCH($I31,Kortingsstaffels!$B:$B,0)))</f>
        <v>0</v>
      </c>
      <c r="Z31" s="876">
        <f>IF(ISNA(INDEX(Kortingsstaffels!$G:$G,MATCH($I31,Kortingsstaffels!$B:$B,0))),0,INDEX(Kortingsstaffels!$G:$G,MATCH($I31,Kortingsstaffels!$B:$B,0)))</f>
        <v>0</v>
      </c>
      <c r="AA31" s="876">
        <f>IF(ISNA(INDEX(Kortingsstaffels!$H:$H,MATCH($I31,Kortingsstaffels!$B:$B,0))),0,INDEX(Kortingsstaffels!$H:$H,MATCH($I31,Kortingsstaffels!$B:$B,0)))</f>
        <v>0</v>
      </c>
      <c r="AB31" s="877">
        <f>IF(ISNA(INDEX(Kortingsstaffels!$I:$I,MATCH($I31,Kortingsstaffels!$B:$B,0))),0,INDEX(Kortingsstaffels!$I:$I,MATCH($I31,Kortingsstaffels!$B:$B,0)))</f>
        <v>0.1</v>
      </c>
      <c r="AC31" s="885">
        <f t="shared" ref="AC31" si="178">T31*(1-Y31)</f>
        <v>15</v>
      </c>
      <c r="AD31" s="495">
        <f t="shared" ref="AD31" si="179">U31*(1-Z31)</f>
        <v>15</v>
      </c>
      <c r="AE31" s="495">
        <f t="shared" ref="AE31" si="180">V31*(1-AA31)</f>
        <v>15</v>
      </c>
      <c r="AF31" s="495">
        <f t="shared" ref="AF31" si="181">W31*(1-AB31)</f>
        <v>13.5</v>
      </c>
      <c r="AG31" s="879">
        <f t="shared" ref="AG31" si="182">SUM(AC31:AF31)</f>
        <v>58.5</v>
      </c>
      <c r="AH31" s="886">
        <f>INDEX('Hulpblad inkooptarieven'!$D:$D,MATCH('Rekenblad Verkeer'!$AH$3,'Hulpblad inkooptarieven'!$A:$A,0))*K31</f>
        <v>2.302</v>
      </c>
      <c r="AI31" s="495">
        <f>INDEX('Hulpblad inkooptarieven'!D:D,MATCH('Rekenblad Verkeer'!$AI$3,'Hulpblad inkooptarieven'!$A:$A,0))*M31</f>
        <v>2.4020000000000001</v>
      </c>
      <c r="AJ31" s="495">
        <f>INDEX('Hulpblad inkooptarieven'!D:D,MATCH('Rekenblad Verkeer'!$AJ$3,'Hulpblad inkooptarieven'!$A:$A,0))*(O31+R31)</f>
        <v>5.3746650000000002</v>
      </c>
      <c r="AK31" s="495">
        <f>INDEX('Hulpblad inkooptarieven'!D:D,MATCH('Rekenblad Verkeer'!$AK$3,'Hulpblad inkooptarieven'!$A:$A,0))*Q31</f>
        <v>12.5</v>
      </c>
      <c r="AL31" s="879">
        <f t="shared" ref="AL31" si="183">SUM(AH31:AK31)</f>
        <v>22.578665000000001</v>
      </c>
      <c r="AM31" s="883">
        <f>AG31*Parameters!$B$3</f>
        <v>5.8500000000000005</v>
      </c>
      <c r="AN31" s="888">
        <f>IF(LEFT(I31,2)="TZ",(('Vergoedingen grondslag'!$F$20+'Vergoedingen grondslag'!$I$20+'Vergoedingen grondslag'!$L$20+'Vergoedingen grondslag'!$O$20)*AG31)+('Vergoedingen grondslag'!$O$20*0+'Vergoedingen grondslag'!$R$20*0+'Vergoedingen grondslag'!$U$20*0)/Parameters!$B$9,('Vergoedingen grondslag'!$F$11+'Vergoedingen grondslag'!$I$11+'Vergoedingen grondslag'!$L$11+'Vergoedingen grondslag'!$O$11)*AG31)+('Vergoedingen grondslag'!$O$11*0+'Vergoedingen grondslag'!$R$11*0+'Vergoedingen grondslag'!$U$11+'Vergoedingen grondslag'!$X$11)/Parameters!$B$9</f>
        <v>2.3955555555555552</v>
      </c>
      <c r="AP31" s="874">
        <f t="shared" ref="AP31" si="184">SUM(AM31:AO31)</f>
        <v>8.2455555555555549</v>
      </c>
      <c r="AQ31" s="887">
        <f t="shared" ref="AQ31" si="185">AL31+AP31</f>
        <v>30.824220555555556</v>
      </c>
      <c r="AR31" s="886">
        <f t="shared" ref="AR31" si="186">AG31-AQ31</f>
        <v>27.675779444444444</v>
      </c>
      <c r="AS31" s="876">
        <f t="shared" ref="AS31" si="187">IFERROR(AR31/AG31,"")</f>
        <v>0.47309024691358026</v>
      </c>
      <c r="AT31" s="494" t="b">
        <f t="shared" ref="AT31" si="188">AR31&lt;0</f>
        <v>0</v>
      </c>
      <c r="AU31" s="882" t="s">
        <v>868</v>
      </c>
      <c r="AV31" s="96">
        <v>1</v>
      </c>
    </row>
    <row r="32" spans="1:48" s="96" customFormat="1" ht="14.4">
      <c r="A32" s="869" t="str">
        <f t="shared" ref="A32" si="189">C32&amp;D32&amp;E32&amp;F32&amp;G32</f>
        <v>ZBTISDN15100IDD contractsduurkorting</v>
      </c>
      <c r="B32" s="494"/>
      <c r="C32" s="493" t="s">
        <v>488</v>
      </c>
      <c r="D32" s="178" t="s">
        <v>466</v>
      </c>
      <c r="E32" s="178"/>
      <c r="F32" s="96">
        <v>100</v>
      </c>
      <c r="G32" s="178" t="s">
        <v>1271</v>
      </c>
      <c r="H32" s="178" t="str">
        <f t="shared" ref="H32" si="190">C32&amp;D32&amp;E32&amp;F32</f>
        <v>ZBTISDN15100</v>
      </c>
      <c r="I32" s="494" t="str">
        <f t="shared" ref="I32" si="191">C32&amp;E32&amp;G32</f>
        <v>ZBTIDD contractsduurkorting</v>
      </c>
      <c r="J32" s="870">
        <f>INDEX(Verkeersprofielen!$B:$B,MATCH($H32,Verkeersprofielen!$A:$A,0))</f>
        <v>100</v>
      </c>
      <c r="K32" s="870">
        <f>INDEX(Verkeersprofielen!$C:$C,MATCH($H32,Verkeersprofielen!$A:$A,0))</f>
        <v>100</v>
      </c>
      <c r="L32" s="870">
        <f>INDEX(Verkeersprofielen!$D:$D,MATCH($H32,Verkeersprofielen!$A:$A,0))</f>
        <v>100</v>
      </c>
      <c r="M32" s="870">
        <f>INDEX(Verkeersprofielen!$E:$E,MATCH($H32,Verkeersprofielen!$A:$A,0))</f>
        <v>100</v>
      </c>
      <c r="N32" s="870">
        <f>INDEX(Verkeersprofielen!$F:$F,MATCH($H32,Verkeersprofielen!$A:$A,0))</f>
        <v>100</v>
      </c>
      <c r="O32" s="870">
        <f>INDEX(Verkeersprofielen!$G:$G,MATCH($H32,Verkeersprofielen!$A:$A,0))</f>
        <v>100</v>
      </c>
      <c r="P32" s="870">
        <f>INDEX(Verkeersprofielen!$H:$H,MATCH($H32,Verkeersprofielen!$A:$A,0))</f>
        <v>100</v>
      </c>
      <c r="Q32" s="870">
        <f>INDEX(Verkeersprofielen!$I:$I,MATCH($H32,Verkeersprofielen!$A:$A,0))</f>
        <v>100</v>
      </c>
      <c r="R32" s="870">
        <f>INDEX(Verkeersprofielen!$J:$J,MATCH($H32,Verkeersprofielen!$A:$A,0))</f>
        <v>0</v>
      </c>
      <c r="S32" s="871">
        <f>INDEX(Verkeersprofielen!$K:$K,MATCH($H32,Verkeersprofielen!$A:$A,0))</f>
        <v>0</v>
      </c>
      <c r="T32" s="883">
        <f>INDEX('Tarieven ZM'!$G:$G,MATCH($C32&amp;T$3,'Tarieven ZM'!$B:$B,0))*J32+K32*INDEX('Tarieven ZM'!$H:$H,MATCH($C32&amp;T$3,'Tarieven ZM'!$B:$B,0))</f>
        <v>15</v>
      </c>
      <c r="U32" s="873">
        <f>INDEX('Tarieven ZM'!$G:$G,MATCH($C32&amp;U$3,'Tarieven ZM'!$B:$B,0))*L32+M32*INDEX('Tarieven ZM'!$H:$H,MATCH($C32&amp;U$3,'Tarieven ZM'!$B:$B,0))</f>
        <v>15</v>
      </c>
      <c r="V32" s="873">
        <f>INDEX('Tarieven ZM'!$G:$G,MATCH($C32&amp;V$3,'Tarieven ZM'!$B:$B,0))*(N32+R32)+(O32+S32)*INDEX('Tarieven ZM'!$H:$H,MATCH($C32&amp;V$3,'Tarieven ZM'!$B:$B,0))</f>
        <v>15</v>
      </c>
      <c r="W32" s="873">
        <f>INDEX('Tarieven ZM'!$G:$G,MATCH($C32&amp;W$3,'Tarieven ZM'!$B:$B,0))*P32+Q32*INDEX('Tarieven ZM'!$H:$H,MATCH($C32&amp;W$3,'Tarieven ZM'!$B:$B,0))</f>
        <v>15</v>
      </c>
      <c r="X32" s="874">
        <f t="shared" ref="X32" si="192">SUM(T32:W32)</f>
        <v>60</v>
      </c>
      <c r="Y32" s="884">
        <f>IF(ISNA(INDEX(Kortingsstaffels!$F:$F,MATCH($I32,Kortingsstaffels!$B:$B,0))),0,INDEX(Kortingsstaffels!$F:$F,MATCH($I32,Kortingsstaffels!$B:$B,0)))</f>
        <v>0</v>
      </c>
      <c r="Z32" s="876">
        <f>IF(ISNA(INDEX(Kortingsstaffels!$G:$G,MATCH($I32,Kortingsstaffels!$B:$B,0))),0,INDEX(Kortingsstaffels!$G:$G,MATCH($I32,Kortingsstaffels!$B:$B,0)))</f>
        <v>0</v>
      </c>
      <c r="AA32" s="876">
        <f>IF(ISNA(INDEX(Kortingsstaffels!$H:$H,MATCH($I32,Kortingsstaffels!$B:$B,0))),0,INDEX(Kortingsstaffels!$H:$H,MATCH($I32,Kortingsstaffels!$B:$B,0)))</f>
        <v>0</v>
      </c>
      <c r="AB32" s="877">
        <f>IF(ISNA(INDEX(Kortingsstaffels!$I:$I,MATCH($I32,Kortingsstaffels!$B:$B,0))),0,INDEX(Kortingsstaffels!$I:$I,MATCH($I32,Kortingsstaffels!$B:$B,0)))</f>
        <v>0.1</v>
      </c>
      <c r="AC32" s="885">
        <f t="shared" ref="AC32" si="193">T32*(1-Y32)</f>
        <v>15</v>
      </c>
      <c r="AD32" s="495">
        <f t="shared" ref="AD32" si="194">U32*(1-Z32)</f>
        <v>15</v>
      </c>
      <c r="AE32" s="495">
        <f t="shared" ref="AE32" si="195">V32*(1-AA32)</f>
        <v>15</v>
      </c>
      <c r="AF32" s="495">
        <f t="shared" ref="AF32" si="196">W32*(1-AB32)</f>
        <v>13.5</v>
      </c>
      <c r="AG32" s="879">
        <f t="shared" ref="AG32" si="197">SUM(AC32:AF32)</f>
        <v>58.5</v>
      </c>
      <c r="AH32" s="886">
        <f>INDEX('Hulpblad inkooptarieven'!$D:$D,MATCH('Rekenblad Verkeer'!$AH$3,'Hulpblad inkooptarieven'!$A:$A,0))*K32</f>
        <v>2.302</v>
      </c>
      <c r="AI32" s="495">
        <f>INDEX('Hulpblad inkooptarieven'!D:D,MATCH('Rekenblad Verkeer'!$AI$3,'Hulpblad inkooptarieven'!$A:$A,0))*M32</f>
        <v>2.4020000000000001</v>
      </c>
      <c r="AJ32" s="495">
        <f>INDEX('Hulpblad inkooptarieven'!D:D,MATCH('Rekenblad Verkeer'!$AJ$3,'Hulpblad inkooptarieven'!$A:$A,0))*(O32+R32)</f>
        <v>5.3746650000000002</v>
      </c>
      <c r="AK32" s="495">
        <f>INDEX('Hulpblad inkooptarieven'!D:D,MATCH('Rekenblad Verkeer'!$AK$3,'Hulpblad inkooptarieven'!$A:$A,0))*Q32</f>
        <v>12.5</v>
      </c>
      <c r="AL32" s="879">
        <f t="shared" ref="AL32" si="198">SUM(AH32:AK32)</f>
        <v>22.578665000000001</v>
      </c>
      <c r="AM32" s="883">
        <f>AG32*Parameters!$B$3</f>
        <v>5.8500000000000005</v>
      </c>
      <c r="AN32" s="888">
        <f>IF(LEFT(I32,2)="TZ",(('Vergoedingen grondslag'!$F$20+'Vergoedingen grondslag'!$I$20+'Vergoedingen grondslag'!$L$20+'Vergoedingen grondslag'!$O$20)*AG32)+('Vergoedingen grondslag'!$O$20*0+'Vergoedingen grondslag'!$R$20*0+'Vergoedingen grondslag'!$U$20*0)/Parameters!$B$9,('Vergoedingen grondslag'!$F$11+'Vergoedingen grondslag'!$I$11+'Vergoedingen grondslag'!$L$11+'Vergoedingen grondslag'!$O$11)*AG32)+('Vergoedingen grondslag'!$O$11*0+'Vergoedingen grondslag'!$R$11*0+'Vergoedingen grondslag'!$U$11+'Vergoedingen grondslag'!$X$11)/Parameters!$B$9</f>
        <v>2.3955555555555552</v>
      </c>
      <c r="AP32" s="874">
        <f t="shared" ref="AP32" si="199">SUM(AM32:AO32)</f>
        <v>8.2455555555555549</v>
      </c>
      <c r="AQ32" s="887">
        <f t="shared" ref="AQ32" si="200">AL32+AP32</f>
        <v>30.824220555555556</v>
      </c>
      <c r="AR32" s="886">
        <f t="shared" ref="AR32" si="201">AG32-AQ32</f>
        <v>27.675779444444444</v>
      </c>
      <c r="AS32" s="876">
        <f t="shared" ref="AS32" si="202">IFERROR(AR32/AG32,"")</f>
        <v>0.47309024691358026</v>
      </c>
      <c r="AT32" s="494" t="b">
        <f t="shared" ref="AT32" si="203">AR32&lt;0</f>
        <v>0</v>
      </c>
      <c r="AU32" s="882" t="s">
        <v>868</v>
      </c>
      <c r="AV32" s="96">
        <v>1</v>
      </c>
    </row>
    <row r="33" spans="1:48" s="96" customFormat="1" ht="14.4">
      <c r="A33" s="869" t="str">
        <f t="shared" ref="A33" si="204">C33&amp;D33&amp;E33&amp;F33&amp;G33</f>
        <v>ZBTISDN20100IDD contractsduurkorting</v>
      </c>
      <c r="B33" s="494"/>
      <c r="C33" s="493" t="s">
        <v>488</v>
      </c>
      <c r="D33" s="178" t="s">
        <v>468</v>
      </c>
      <c r="E33" s="178"/>
      <c r="F33" s="96">
        <v>100</v>
      </c>
      <c r="G33" s="178" t="s">
        <v>1271</v>
      </c>
      <c r="H33" s="178" t="str">
        <f t="shared" ref="H33" si="205">C33&amp;D33&amp;E33&amp;F33</f>
        <v>ZBTISDN20100</v>
      </c>
      <c r="I33" s="494" t="str">
        <f t="shared" ref="I33" si="206">C33&amp;E33&amp;G33</f>
        <v>ZBTIDD contractsduurkorting</v>
      </c>
      <c r="J33" s="870">
        <f>INDEX(Verkeersprofielen!$B:$B,MATCH($H33,Verkeersprofielen!$A:$A,0))</f>
        <v>100</v>
      </c>
      <c r="K33" s="870">
        <f>INDEX(Verkeersprofielen!$C:$C,MATCH($H33,Verkeersprofielen!$A:$A,0))</f>
        <v>100</v>
      </c>
      <c r="L33" s="870">
        <f>INDEX(Verkeersprofielen!$D:$D,MATCH($H33,Verkeersprofielen!$A:$A,0))</f>
        <v>100</v>
      </c>
      <c r="M33" s="870">
        <f>INDEX(Verkeersprofielen!$E:$E,MATCH($H33,Verkeersprofielen!$A:$A,0))</f>
        <v>100</v>
      </c>
      <c r="N33" s="870">
        <f>INDEX(Verkeersprofielen!$F:$F,MATCH($H33,Verkeersprofielen!$A:$A,0))</f>
        <v>100</v>
      </c>
      <c r="O33" s="870">
        <f>INDEX(Verkeersprofielen!$G:$G,MATCH($H33,Verkeersprofielen!$A:$A,0))</f>
        <v>100</v>
      </c>
      <c r="P33" s="870">
        <f>INDEX(Verkeersprofielen!$H:$H,MATCH($H33,Verkeersprofielen!$A:$A,0))</f>
        <v>100</v>
      </c>
      <c r="Q33" s="870">
        <f>INDEX(Verkeersprofielen!$I:$I,MATCH($H33,Verkeersprofielen!$A:$A,0))</f>
        <v>100</v>
      </c>
      <c r="R33" s="870">
        <f>INDEX(Verkeersprofielen!$J:$J,MATCH($H33,Verkeersprofielen!$A:$A,0))</f>
        <v>0</v>
      </c>
      <c r="S33" s="871">
        <f>INDEX(Verkeersprofielen!$K:$K,MATCH($H33,Verkeersprofielen!$A:$A,0))</f>
        <v>0</v>
      </c>
      <c r="T33" s="883">
        <f>INDEX('Tarieven ZM'!$G:$G,MATCH($C33&amp;T$3,'Tarieven ZM'!$B:$B,0))*J33+K33*INDEX('Tarieven ZM'!$H:$H,MATCH($C33&amp;T$3,'Tarieven ZM'!$B:$B,0))</f>
        <v>15</v>
      </c>
      <c r="U33" s="873">
        <f>INDEX('Tarieven ZM'!$G:$G,MATCH($C33&amp;U$3,'Tarieven ZM'!$B:$B,0))*L33+M33*INDEX('Tarieven ZM'!$H:$H,MATCH($C33&amp;U$3,'Tarieven ZM'!$B:$B,0))</f>
        <v>15</v>
      </c>
      <c r="V33" s="873">
        <f>INDEX('Tarieven ZM'!$G:$G,MATCH($C33&amp;V$3,'Tarieven ZM'!$B:$B,0))*(N33+R33)+(O33+S33)*INDEX('Tarieven ZM'!$H:$H,MATCH($C33&amp;V$3,'Tarieven ZM'!$B:$B,0))</f>
        <v>15</v>
      </c>
      <c r="W33" s="873">
        <f>INDEX('Tarieven ZM'!$G:$G,MATCH($C33&amp;W$3,'Tarieven ZM'!$B:$B,0))*P33+Q33*INDEX('Tarieven ZM'!$H:$H,MATCH($C33&amp;W$3,'Tarieven ZM'!$B:$B,0))</f>
        <v>15</v>
      </c>
      <c r="X33" s="874">
        <f t="shared" ref="X33" si="207">SUM(T33:W33)</f>
        <v>60</v>
      </c>
      <c r="Y33" s="884">
        <f>IF(ISNA(INDEX(Kortingsstaffels!$F:$F,MATCH($I33,Kortingsstaffels!$B:$B,0))),0,INDEX(Kortingsstaffels!$F:$F,MATCH($I33,Kortingsstaffels!$B:$B,0)))</f>
        <v>0</v>
      </c>
      <c r="Z33" s="876">
        <f>IF(ISNA(INDEX(Kortingsstaffels!$G:$G,MATCH($I33,Kortingsstaffels!$B:$B,0))),0,INDEX(Kortingsstaffels!$G:$G,MATCH($I33,Kortingsstaffels!$B:$B,0)))</f>
        <v>0</v>
      </c>
      <c r="AA33" s="876">
        <f>IF(ISNA(INDEX(Kortingsstaffels!$H:$H,MATCH($I33,Kortingsstaffels!$B:$B,0))),0,INDEX(Kortingsstaffels!$H:$H,MATCH($I33,Kortingsstaffels!$B:$B,0)))</f>
        <v>0</v>
      </c>
      <c r="AB33" s="877">
        <f>IF(ISNA(INDEX(Kortingsstaffels!$I:$I,MATCH($I33,Kortingsstaffels!$B:$B,0))),0,INDEX(Kortingsstaffels!$I:$I,MATCH($I33,Kortingsstaffels!$B:$B,0)))</f>
        <v>0.1</v>
      </c>
      <c r="AC33" s="885">
        <f t="shared" ref="AC33" si="208">T33*(1-Y33)</f>
        <v>15</v>
      </c>
      <c r="AD33" s="495">
        <f t="shared" ref="AD33" si="209">U33*(1-Z33)</f>
        <v>15</v>
      </c>
      <c r="AE33" s="495">
        <f t="shared" ref="AE33" si="210">V33*(1-AA33)</f>
        <v>15</v>
      </c>
      <c r="AF33" s="495">
        <f t="shared" ref="AF33" si="211">W33*(1-AB33)</f>
        <v>13.5</v>
      </c>
      <c r="AG33" s="879">
        <f t="shared" ref="AG33" si="212">SUM(AC33:AF33)</f>
        <v>58.5</v>
      </c>
      <c r="AH33" s="886">
        <f>INDEX('Hulpblad inkooptarieven'!$D:$D,MATCH('Rekenblad Verkeer'!$AH$3,'Hulpblad inkooptarieven'!$A:$A,0))*K33</f>
        <v>2.302</v>
      </c>
      <c r="AI33" s="495">
        <f>INDEX('Hulpblad inkooptarieven'!D:D,MATCH('Rekenblad Verkeer'!$AI$3,'Hulpblad inkooptarieven'!$A:$A,0))*M33</f>
        <v>2.4020000000000001</v>
      </c>
      <c r="AJ33" s="495">
        <f>INDEX('Hulpblad inkooptarieven'!D:D,MATCH('Rekenblad Verkeer'!$AJ$3,'Hulpblad inkooptarieven'!$A:$A,0))*(O33+R33)</f>
        <v>5.3746650000000002</v>
      </c>
      <c r="AK33" s="495">
        <f>INDEX('Hulpblad inkooptarieven'!D:D,MATCH('Rekenblad Verkeer'!$AK$3,'Hulpblad inkooptarieven'!$A:$A,0))*Q33</f>
        <v>12.5</v>
      </c>
      <c r="AL33" s="879">
        <f t="shared" ref="AL33" si="213">SUM(AH33:AK33)</f>
        <v>22.578665000000001</v>
      </c>
      <c r="AM33" s="883">
        <f>AG33*Parameters!$B$3</f>
        <v>5.8500000000000005</v>
      </c>
      <c r="AN33" s="888">
        <f>IF(LEFT(I33,2)="TZ",(('Vergoedingen grondslag'!$F$20+'Vergoedingen grondslag'!$I$20+'Vergoedingen grondslag'!$L$20+'Vergoedingen grondslag'!$O$20)*AG33)+('Vergoedingen grondslag'!$O$20*0+'Vergoedingen grondslag'!$R$20*0+'Vergoedingen grondslag'!$U$20*0)/Parameters!$B$9,('Vergoedingen grondslag'!$F$11+'Vergoedingen grondslag'!$I$11+'Vergoedingen grondslag'!$L$11+'Vergoedingen grondslag'!$O$11)*AG33)+('Vergoedingen grondslag'!$O$11*0+'Vergoedingen grondslag'!$R$11*0+'Vergoedingen grondslag'!$U$11+'Vergoedingen grondslag'!$X$11)/Parameters!$B$9</f>
        <v>2.3955555555555552</v>
      </c>
      <c r="AP33" s="874">
        <f t="shared" ref="AP33" si="214">SUM(AM33:AO33)</f>
        <v>8.2455555555555549</v>
      </c>
      <c r="AQ33" s="887">
        <f t="shared" ref="AQ33" si="215">AL33+AP33</f>
        <v>30.824220555555556</v>
      </c>
      <c r="AR33" s="886">
        <f t="shared" ref="AR33" si="216">AG33-AQ33</f>
        <v>27.675779444444444</v>
      </c>
      <c r="AS33" s="876">
        <f t="shared" ref="AS33" si="217">IFERROR(AR33/AG33,"")</f>
        <v>0.47309024691358026</v>
      </c>
      <c r="AT33" s="494" t="b">
        <f t="shared" ref="AT33" si="218">AR33&lt;0</f>
        <v>0</v>
      </c>
      <c r="AU33" s="882" t="s">
        <v>868</v>
      </c>
      <c r="AV33" s="96">
        <v>1</v>
      </c>
    </row>
    <row r="34" spans="1:48" s="96" customFormat="1" ht="14.4">
      <c r="A34" s="869" t="str">
        <f t="shared" ref="A34" si="219">C34&amp;D34&amp;E34&amp;F34&amp;G34</f>
        <v>ZBTISDN30100IDD contractsduurkorting</v>
      </c>
      <c r="B34" s="494"/>
      <c r="C34" s="493" t="s">
        <v>488</v>
      </c>
      <c r="D34" s="178" t="s">
        <v>469</v>
      </c>
      <c r="E34" s="178"/>
      <c r="F34" s="96">
        <v>100</v>
      </c>
      <c r="G34" s="178" t="s">
        <v>1271</v>
      </c>
      <c r="H34" s="178" t="str">
        <f t="shared" ref="H34" si="220">C34&amp;D34&amp;E34&amp;F34</f>
        <v>ZBTISDN30100</v>
      </c>
      <c r="I34" s="494" t="str">
        <f t="shared" ref="I34" si="221">C34&amp;E34&amp;G34</f>
        <v>ZBTIDD contractsduurkorting</v>
      </c>
      <c r="J34" s="870">
        <f>INDEX(Verkeersprofielen!$B:$B,MATCH($H34,Verkeersprofielen!$A:$A,0))</f>
        <v>100</v>
      </c>
      <c r="K34" s="870">
        <f>INDEX(Verkeersprofielen!$C:$C,MATCH($H34,Verkeersprofielen!$A:$A,0))</f>
        <v>100</v>
      </c>
      <c r="L34" s="870">
        <f>INDEX(Verkeersprofielen!$D:$D,MATCH($H34,Verkeersprofielen!$A:$A,0))</f>
        <v>100</v>
      </c>
      <c r="M34" s="870">
        <f>INDEX(Verkeersprofielen!$E:$E,MATCH($H34,Verkeersprofielen!$A:$A,0))</f>
        <v>100</v>
      </c>
      <c r="N34" s="870">
        <f>INDEX(Verkeersprofielen!$F:$F,MATCH($H34,Verkeersprofielen!$A:$A,0))</f>
        <v>100</v>
      </c>
      <c r="O34" s="870">
        <f>INDEX(Verkeersprofielen!$G:$G,MATCH($H34,Verkeersprofielen!$A:$A,0))</f>
        <v>100</v>
      </c>
      <c r="P34" s="870">
        <f>INDEX(Verkeersprofielen!$H:$H,MATCH($H34,Verkeersprofielen!$A:$A,0))</f>
        <v>100</v>
      </c>
      <c r="Q34" s="870">
        <f>INDEX(Verkeersprofielen!$I:$I,MATCH($H34,Verkeersprofielen!$A:$A,0))</f>
        <v>100</v>
      </c>
      <c r="R34" s="870">
        <f>INDEX(Verkeersprofielen!$J:$J,MATCH($H34,Verkeersprofielen!$A:$A,0))</f>
        <v>0</v>
      </c>
      <c r="S34" s="871">
        <f>INDEX(Verkeersprofielen!$K:$K,MATCH($H34,Verkeersprofielen!$A:$A,0))</f>
        <v>0</v>
      </c>
      <c r="T34" s="883">
        <f>INDEX('Tarieven ZM'!$G:$G,MATCH($C34&amp;T$3,'Tarieven ZM'!$B:$B,0))*J34+K34*INDEX('Tarieven ZM'!$H:$H,MATCH($C34&amp;T$3,'Tarieven ZM'!$B:$B,0))</f>
        <v>15</v>
      </c>
      <c r="U34" s="873">
        <f>INDEX('Tarieven ZM'!$G:$G,MATCH($C34&amp;U$3,'Tarieven ZM'!$B:$B,0))*L34+M34*INDEX('Tarieven ZM'!$H:$H,MATCH($C34&amp;U$3,'Tarieven ZM'!$B:$B,0))</f>
        <v>15</v>
      </c>
      <c r="V34" s="873">
        <f>INDEX('Tarieven ZM'!$G:$G,MATCH($C34&amp;V$3,'Tarieven ZM'!$B:$B,0))*(N34+R34)+(O34+S34)*INDEX('Tarieven ZM'!$H:$H,MATCH($C34&amp;V$3,'Tarieven ZM'!$B:$B,0))</f>
        <v>15</v>
      </c>
      <c r="W34" s="873">
        <f>INDEX('Tarieven ZM'!$G:$G,MATCH($C34&amp;W$3,'Tarieven ZM'!$B:$B,0))*P34+Q34*INDEX('Tarieven ZM'!$H:$H,MATCH($C34&amp;W$3,'Tarieven ZM'!$B:$B,0))</f>
        <v>15</v>
      </c>
      <c r="X34" s="874">
        <f t="shared" ref="X34" si="222">SUM(T34:W34)</f>
        <v>60</v>
      </c>
      <c r="Y34" s="884">
        <f>IF(ISNA(INDEX(Kortingsstaffels!$F:$F,MATCH($I34,Kortingsstaffels!$B:$B,0))),0,INDEX(Kortingsstaffels!$F:$F,MATCH($I34,Kortingsstaffels!$B:$B,0)))</f>
        <v>0</v>
      </c>
      <c r="Z34" s="876">
        <f>IF(ISNA(INDEX(Kortingsstaffels!$G:$G,MATCH($I34,Kortingsstaffels!$B:$B,0))),0,INDEX(Kortingsstaffels!$G:$G,MATCH($I34,Kortingsstaffels!$B:$B,0)))</f>
        <v>0</v>
      </c>
      <c r="AA34" s="876">
        <f>IF(ISNA(INDEX(Kortingsstaffels!$H:$H,MATCH($I34,Kortingsstaffels!$B:$B,0))),0,INDEX(Kortingsstaffels!$H:$H,MATCH($I34,Kortingsstaffels!$B:$B,0)))</f>
        <v>0</v>
      </c>
      <c r="AB34" s="877">
        <f>IF(ISNA(INDEX(Kortingsstaffels!$I:$I,MATCH($I34,Kortingsstaffels!$B:$B,0))),0,INDEX(Kortingsstaffels!$I:$I,MATCH($I34,Kortingsstaffels!$B:$B,0)))</f>
        <v>0.1</v>
      </c>
      <c r="AC34" s="885">
        <f t="shared" ref="AC34" si="223">T34*(1-Y34)</f>
        <v>15</v>
      </c>
      <c r="AD34" s="495">
        <f t="shared" ref="AD34" si="224">U34*(1-Z34)</f>
        <v>15</v>
      </c>
      <c r="AE34" s="495">
        <f t="shared" ref="AE34" si="225">V34*(1-AA34)</f>
        <v>15</v>
      </c>
      <c r="AF34" s="495">
        <f t="shared" ref="AF34" si="226">W34*(1-AB34)</f>
        <v>13.5</v>
      </c>
      <c r="AG34" s="879">
        <f t="shared" ref="AG34" si="227">SUM(AC34:AF34)</f>
        <v>58.5</v>
      </c>
      <c r="AH34" s="886">
        <f>INDEX('Hulpblad inkooptarieven'!$D:$D,MATCH('Rekenblad Verkeer'!$AH$3,'Hulpblad inkooptarieven'!$A:$A,0))*K34</f>
        <v>2.302</v>
      </c>
      <c r="AI34" s="495">
        <f>INDEX('Hulpblad inkooptarieven'!D:D,MATCH('Rekenblad Verkeer'!$AI$3,'Hulpblad inkooptarieven'!$A:$A,0))*M34</f>
        <v>2.4020000000000001</v>
      </c>
      <c r="AJ34" s="495">
        <f>INDEX('Hulpblad inkooptarieven'!D:D,MATCH('Rekenblad Verkeer'!$AJ$3,'Hulpblad inkooptarieven'!$A:$A,0))*(O34+R34)</f>
        <v>5.3746650000000002</v>
      </c>
      <c r="AK34" s="495">
        <f>INDEX('Hulpblad inkooptarieven'!D:D,MATCH('Rekenblad Verkeer'!$AK$3,'Hulpblad inkooptarieven'!$A:$A,0))*Q34</f>
        <v>12.5</v>
      </c>
      <c r="AL34" s="879">
        <f t="shared" ref="AL34" si="228">SUM(AH34:AK34)</f>
        <v>22.578665000000001</v>
      </c>
      <c r="AM34" s="883">
        <f>AG34*Parameters!$B$3</f>
        <v>5.8500000000000005</v>
      </c>
      <c r="AN34" s="888">
        <f>IF(LEFT(I34,2)="TZ",(('Vergoedingen grondslag'!$F$20+'Vergoedingen grondslag'!$I$20+'Vergoedingen grondslag'!$L$20+'Vergoedingen grondslag'!$O$20)*AG34)+('Vergoedingen grondslag'!$O$20*0+'Vergoedingen grondslag'!$R$20*0+'Vergoedingen grondslag'!$U$20*0)/Parameters!$B$9,('Vergoedingen grondslag'!$F$11+'Vergoedingen grondslag'!$I$11+'Vergoedingen grondslag'!$L$11+'Vergoedingen grondslag'!$O$11)*AG34)+('Vergoedingen grondslag'!$O$11*0+'Vergoedingen grondslag'!$R$11*0+'Vergoedingen grondslag'!$U$11+'Vergoedingen grondslag'!$X$11)/Parameters!$B$9</f>
        <v>2.3955555555555552</v>
      </c>
      <c r="AP34" s="874">
        <f t="shared" ref="AP34" si="229">SUM(AM34:AO34)</f>
        <v>8.2455555555555549</v>
      </c>
      <c r="AQ34" s="887">
        <f t="shared" ref="AQ34" si="230">AL34+AP34</f>
        <v>30.824220555555556</v>
      </c>
      <c r="AR34" s="886">
        <f t="shared" ref="AR34" si="231">AG34-AQ34</f>
        <v>27.675779444444444</v>
      </c>
      <c r="AS34" s="876">
        <f t="shared" ref="AS34" si="232">IFERROR(AR34/AG34,"")</f>
        <v>0.47309024691358026</v>
      </c>
      <c r="AT34" s="494" t="b">
        <f t="shared" ref="AT34" si="233">AR34&lt;0</f>
        <v>0</v>
      </c>
      <c r="AU34" s="882" t="s">
        <v>868</v>
      </c>
      <c r="AV34" s="96">
        <v>1</v>
      </c>
    </row>
    <row r="35" spans="1:48" s="96" customFormat="1" ht="14.4">
      <c r="A35" s="869" t="str">
        <f t="shared" ref="A35" si="234">C35&amp;D35&amp;E35&amp;F35&amp;G35</f>
        <v>ZBTCityphone100IDD contractsduurkorting</v>
      </c>
      <c r="B35" s="494"/>
      <c r="C35" s="493" t="s">
        <v>488</v>
      </c>
      <c r="D35" s="178" t="s">
        <v>520</v>
      </c>
      <c r="E35" s="178"/>
      <c r="F35" s="96">
        <v>100</v>
      </c>
      <c r="G35" s="178" t="s">
        <v>1271</v>
      </c>
      <c r="H35" s="178" t="str">
        <f t="shared" ref="H35:H36" si="235">C35&amp;D35&amp;E35&amp;F35</f>
        <v>ZBTCityphone100</v>
      </c>
      <c r="I35" s="494" t="str">
        <f t="shared" ref="I35" si="236">C35&amp;E35&amp;G35</f>
        <v>ZBTIDD contractsduurkorting</v>
      </c>
      <c r="J35" s="870">
        <f>INDEX(Verkeersprofielen!$B:$B,MATCH($H35,Verkeersprofielen!$A:$A,0))</f>
        <v>100</v>
      </c>
      <c r="K35" s="870">
        <f>INDEX(Verkeersprofielen!$C:$C,MATCH($H35,Verkeersprofielen!$A:$A,0))</f>
        <v>100</v>
      </c>
      <c r="L35" s="870">
        <f>INDEX(Verkeersprofielen!$D:$D,MATCH($H35,Verkeersprofielen!$A:$A,0))</f>
        <v>100</v>
      </c>
      <c r="M35" s="870">
        <f>INDEX(Verkeersprofielen!$E:$E,MATCH($H35,Verkeersprofielen!$A:$A,0))</f>
        <v>100</v>
      </c>
      <c r="N35" s="870">
        <f>INDEX(Verkeersprofielen!$F:$F,MATCH($H35,Verkeersprofielen!$A:$A,0))</f>
        <v>100</v>
      </c>
      <c r="O35" s="870">
        <f>INDEX(Verkeersprofielen!$G:$G,MATCH($H35,Verkeersprofielen!$A:$A,0))</f>
        <v>100</v>
      </c>
      <c r="P35" s="870">
        <f>INDEX(Verkeersprofielen!$H:$H,MATCH($H35,Verkeersprofielen!$A:$A,0))</f>
        <v>100</v>
      </c>
      <c r="Q35" s="870">
        <f>INDEX(Verkeersprofielen!$I:$I,MATCH($H35,Verkeersprofielen!$A:$A,0))</f>
        <v>100</v>
      </c>
      <c r="R35" s="870">
        <f>INDEX(Verkeersprofielen!$J:$J,MATCH($H35,Verkeersprofielen!$A:$A,0))</f>
        <v>0</v>
      </c>
      <c r="S35" s="871">
        <f>INDEX(Verkeersprofielen!$K:$K,MATCH($H35,Verkeersprofielen!$A:$A,0))</f>
        <v>0</v>
      </c>
      <c r="T35" s="883">
        <f>INDEX('Tarieven ZM'!$G:$G,MATCH($C35&amp;T$3,'Tarieven ZM'!$B:$B,0))*J35+K35*INDEX('Tarieven ZM'!$H:$H,MATCH($C35&amp;T$3,'Tarieven ZM'!$B:$B,0))</f>
        <v>15</v>
      </c>
      <c r="U35" s="873">
        <f>INDEX('Tarieven ZM'!$G:$G,MATCH($C35&amp;U$3,'Tarieven ZM'!$B:$B,0))*L35+M35*INDEX('Tarieven ZM'!$H:$H,MATCH($C35&amp;U$3,'Tarieven ZM'!$B:$B,0))</f>
        <v>15</v>
      </c>
      <c r="V35" s="873">
        <f>INDEX('Tarieven ZM'!$G:$G,MATCH($C35&amp;V$3,'Tarieven ZM'!$B:$B,0))*(N35+R35)+(O35+S35)*INDEX('Tarieven ZM'!$H:$H,MATCH($C35&amp;V$3,'Tarieven ZM'!$B:$B,0))</f>
        <v>15</v>
      </c>
      <c r="W35" s="873">
        <f>INDEX('Tarieven ZM'!$G:$G,MATCH($C35&amp;W$3,'Tarieven ZM'!$B:$B,0))*P35+Q35*INDEX('Tarieven ZM'!$H:$H,MATCH($C35&amp;W$3,'Tarieven ZM'!$B:$B,0))</f>
        <v>15</v>
      </c>
      <c r="X35" s="874">
        <f t="shared" ref="X35" si="237">SUM(T35:W35)</f>
        <v>60</v>
      </c>
      <c r="Y35" s="884">
        <f>IF(ISNA(INDEX(Kortingsstaffels!$F:$F,MATCH($I35,Kortingsstaffels!$B:$B,0))),0,INDEX(Kortingsstaffels!$F:$F,MATCH($I35,Kortingsstaffels!$B:$B,0)))</f>
        <v>0</v>
      </c>
      <c r="Z35" s="876">
        <f>IF(ISNA(INDEX(Kortingsstaffels!$G:$G,MATCH($I35,Kortingsstaffels!$B:$B,0))),0,INDEX(Kortingsstaffels!$G:$G,MATCH($I35,Kortingsstaffels!$B:$B,0)))</f>
        <v>0</v>
      </c>
      <c r="AA35" s="876">
        <f>IF(ISNA(INDEX(Kortingsstaffels!$H:$H,MATCH($I35,Kortingsstaffels!$B:$B,0))),0,INDEX(Kortingsstaffels!$H:$H,MATCH($I35,Kortingsstaffels!$B:$B,0)))</f>
        <v>0</v>
      </c>
      <c r="AB35" s="877">
        <f>IF(ISNA(INDEX(Kortingsstaffels!$I:$I,MATCH($I35,Kortingsstaffels!$B:$B,0))),0,INDEX(Kortingsstaffels!$I:$I,MATCH($I35,Kortingsstaffels!$B:$B,0)))</f>
        <v>0.1</v>
      </c>
      <c r="AC35" s="885">
        <f t="shared" ref="AC35" si="238">T35*(1-Y35)</f>
        <v>15</v>
      </c>
      <c r="AD35" s="495">
        <f t="shared" ref="AD35" si="239">U35*(1-Z35)</f>
        <v>15</v>
      </c>
      <c r="AE35" s="495">
        <f t="shared" ref="AE35" si="240">V35*(1-AA35)</f>
        <v>15</v>
      </c>
      <c r="AF35" s="495">
        <f t="shared" ref="AF35" si="241">W35*(1-AB35)</f>
        <v>13.5</v>
      </c>
      <c r="AG35" s="879">
        <f t="shared" ref="AG35" si="242">SUM(AC35:AF35)</f>
        <v>58.5</v>
      </c>
      <c r="AH35" s="886">
        <f>INDEX('Hulpblad inkooptarieven'!$D:$D,MATCH('Rekenblad Verkeer'!$AH$3,'Hulpblad inkooptarieven'!$A:$A,0))*K35</f>
        <v>2.302</v>
      </c>
      <c r="AI35" s="495">
        <f>INDEX('Hulpblad inkooptarieven'!D:D,MATCH('Rekenblad Verkeer'!$AI$3,'Hulpblad inkooptarieven'!$A:$A,0))*M35</f>
        <v>2.4020000000000001</v>
      </c>
      <c r="AJ35" s="495">
        <f>INDEX('Hulpblad inkooptarieven'!D:D,MATCH('Rekenblad Verkeer'!$AJ$3,'Hulpblad inkooptarieven'!$A:$A,0))*(O35+R35)</f>
        <v>5.3746650000000002</v>
      </c>
      <c r="AK35" s="495">
        <f>INDEX('Hulpblad inkooptarieven'!D:D,MATCH('Rekenblad Verkeer'!$AK$3,'Hulpblad inkooptarieven'!$A:$A,0))*Q35</f>
        <v>12.5</v>
      </c>
      <c r="AL35" s="879">
        <f t="shared" ref="AL35" si="243">SUM(AH35:AK35)</f>
        <v>22.578665000000001</v>
      </c>
      <c r="AM35" s="883">
        <f>AG35*Parameters!$B$3</f>
        <v>5.8500000000000005</v>
      </c>
      <c r="AN35" s="888">
        <f>IF(LEFT(I35,2)="TZ",(('Vergoedingen grondslag'!$F$20+'Vergoedingen grondslag'!$I$20+'Vergoedingen grondslag'!$L$20+'Vergoedingen grondslag'!$O$20)*AG35)+('Vergoedingen grondslag'!$O$20*0+'Vergoedingen grondslag'!$R$20*0+'Vergoedingen grondslag'!$U$20*0)/Parameters!$B$9,('Vergoedingen grondslag'!$F$11+'Vergoedingen grondslag'!$I$11+'Vergoedingen grondslag'!$L$11+'Vergoedingen grondslag'!$O$11)*AG35)+('Vergoedingen grondslag'!$O$11*0+'Vergoedingen grondslag'!$R$11*0+'Vergoedingen grondslag'!$U$11+'Vergoedingen grondslag'!$X$11)/Parameters!$B$9</f>
        <v>2.3955555555555552</v>
      </c>
      <c r="AP35" s="874">
        <f t="shared" ref="AP35" si="244">SUM(AM35:AO35)</f>
        <v>8.2455555555555549</v>
      </c>
      <c r="AQ35" s="887">
        <f t="shared" ref="AQ35" si="245">AL35+AP35</f>
        <v>30.824220555555556</v>
      </c>
      <c r="AR35" s="886">
        <f t="shared" ref="AR35" si="246">AG35-AQ35</f>
        <v>27.675779444444444</v>
      </c>
      <c r="AS35" s="876">
        <f t="shared" ref="AS35" si="247">IFERROR(AR35/AG35,"")</f>
        <v>0.47309024691358026</v>
      </c>
      <c r="AT35" s="494" t="b">
        <f t="shared" ref="AT35" si="248">AR35&lt;0</f>
        <v>0</v>
      </c>
      <c r="AU35" s="882" t="s">
        <v>868</v>
      </c>
      <c r="AV35" s="96">
        <v>1</v>
      </c>
    </row>
    <row r="36" spans="1:48" s="96" customFormat="1" ht="14.4">
      <c r="A36" s="444" t="str">
        <f t="shared" ref="A36:A38" si="249">C36&amp;D36&amp;E36&amp;F36&amp;G36</f>
        <v>TZ ZBTPSTN100</v>
      </c>
      <c r="B36" s="494"/>
      <c r="C36" s="493" t="s">
        <v>717</v>
      </c>
      <c r="D36" s="178" t="s">
        <v>463</v>
      </c>
      <c r="E36" s="178"/>
      <c r="F36" s="96">
        <v>100</v>
      </c>
      <c r="G36" s="178"/>
      <c r="H36" s="178" t="str">
        <f t="shared" si="235"/>
        <v>TZ ZBTPSTN100</v>
      </c>
      <c r="I36" s="494" t="str">
        <f t="shared" ref="I36" si="250">C36&amp;E36&amp;G36</f>
        <v>TZ ZBT</v>
      </c>
      <c r="J36" s="870">
        <f>INDEX(Verkeersprofielen!$B:$B,MATCH($H36,Verkeersprofielen!$A:$A,0))</f>
        <v>100</v>
      </c>
      <c r="K36" s="870">
        <f>INDEX(Verkeersprofielen!$C:$C,MATCH($H36,Verkeersprofielen!$A:$A,0))</f>
        <v>100</v>
      </c>
      <c r="L36" s="870">
        <f>INDEX(Verkeersprofielen!$D:$D,MATCH($H36,Verkeersprofielen!$A:$A,0))</f>
        <v>100</v>
      </c>
      <c r="M36" s="870">
        <f>INDEX(Verkeersprofielen!$E:$E,MATCH($H36,Verkeersprofielen!$A:$A,0))</f>
        <v>100</v>
      </c>
      <c r="N36" s="870">
        <f>INDEX(Verkeersprofielen!$F:$F,MATCH($H36,Verkeersprofielen!$A:$A,0))</f>
        <v>100</v>
      </c>
      <c r="O36" s="870">
        <f>INDEX(Verkeersprofielen!$G:$G,MATCH($H36,Verkeersprofielen!$A:$A,0))</f>
        <v>100</v>
      </c>
      <c r="P36" s="870">
        <f>INDEX(Verkeersprofielen!$H:$H,MATCH($H36,Verkeersprofielen!$A:$A,0))</f>
        <v>100</v>
      </c>
      <c r="Q36" s="870">
        <f>INDEX(Verkeersprofielen!$I:$I,MATCH($H36,Verkeersprofielen!$A:$A,0))</f>
        <v>100</v>
      </c>
      <c r="R36" s="870">
        <f>INDEX(Verkeersprofielen!$J:$J,MATCH($H36,Verkeersprofielen!$A:$A,0))</f>
        <v>0</v>
      </c>
      <c r="S36" s="871">
        <f>INDEX(Verkeersprofielen!$K:$K,MATCH($H36,Verkeersprofielen!$A:$A,0))</f>
        <v>0</v>
      </c>
      <c r="T36" s="872">
        <f>INDEX('Tarieven ZM'!$G:$G,MATCH($C36&amp;T$3,'Tarieven ZM'!$B:$B,0))*J36+K36*INDEX('Tarieven ZM'!$H:$H,MATCH($C36&amp;T$3,'Tarieven ZM'!$B:$B,0))</f>
        <v>15</v>
      </c>
      <c r="U36" s="873">
        <f>INDEX('Tarieven ZM'!$G:$G,MATCH($C36&amp;U$3,'Tarieven ZM'!$B:$B,0))*L36+M36*INDEX('Tarieven ZM'!$H:$H,MATCH($C36&amp;U$3,'Tarieven ZM'!$B:$B,0))</f>
        <v>15</v>
      </c>
      <c r="V36" s="873">
        <f>INDEX('Tarieven ZM'!$G:$G,MATCH($C36&amp;V$3,'Tarieven ZM'!$B:$B,0))*(N36+R36)+(O36+S36)*INDEX('Tarieven ZM'!$H:$H,MATCH($C36&amp;V$3,'Tarieven ZM'!$B:$B,0))</f>
        <v>15</v>
      </c>
      <c r="W36" s="873">
        <f>INDEX('Tarieven ZM'!$G:$G,MATCH($C36&amp;W$3,'Tarieven ZM'!$B:$B,0))*P36+Q36*INDEX('Tarieven ZM'!$H:$H,MATCH($C36&amp;W$3,'Tarieven ZM'!$B:$B,0))</f>
        <v>15</v>
      </c>
      <c r="X36" s="874">
        <f t="shared" ref="X36" si="251">SUM(T36:W36)</f>
        <v>60</v>
      </c>
      <c r="Y36" s="875">
        <f>IF(ISNA(INDEX(Kortingsstaffels!$F:$F,MATCH($I36,Kortingsstaffels!$B:$B,0))),0,INDEX(Kortingsstaffels!$F:$F,MATCH($I36,Kortingsstaffels!$B:$B,0)))</f>
        <v>0</v>
      </c>
      <c r="Z36" s="876">
        <f>IF(ISNA(INDEX(Kortingsstaffels!$G:$G,MATCH($I36,Kortingsstaffels!$B:$B,0))),0,INDEX(Kortingsstaffels!$G:$G,MATCH($I36,Kortingsstaffels!$B:$B,0)))</f>
        <v>0</v>
      </c>
      <c r="AA36" s="876">
        <f>IF(ISNA(INDEX(Kortingsstaffels!$H:$H,MATCH($I36,Kortingsstaffels!$B:$B,0))),0,INDEX(Kortingsstaffels!$H:$H,MATCH($I36,Kortingsstaffels!$B:$B,0)))</f>
        <v>0</v>
      </c>
      <c r="AB36" s="877">
        <f>IF(ISNA(INDEX(Kortingsstaffels!$I:$I,MATCH($I36,Kortingsstaffels!$B:$B,0))),0,INDEX(Kortingsstaffels!$I:$I,MATCH($I36,Kortingsstaffels!$B:$B,0)))</f>
        <v>0</v>
      </c>
      <c r="AC36" s="878">
        <f t="shared" ref="AC36" si="252">T36*(1-Y36)</f>
        <v>15</v>
      </c>
      <c r="AD36" s="495">
        <f t="shared" ref="AD36" si="253">U36*(1-Z36)</f>
        <v>15</v>
      </c>
      <c r="AE36" s="495">
        <f t="shared" ref="AE36" si="254">V36*(1-AA36)</f>
        <v>15</v>
      </c>
      <c r="AF36" s="495">
        <f t="shared" ref="AF36" si="255">W36*(1-AB36)</f>
        <v>15</v>
      </c>
      <c r="AG36" s="879">
        <f t="shared" ref="AG36" si="256">SUM(AC36:AF36)</f>
        <v>60</v>
      </c>
      <c r="AH36" s="880">
        <f>INDEX('Hulpblad inkooptarieven'!$D:$D,MATCH('Rekenblad Verkeer'!$AH$3,'Hulpblad inkooptarieven'!$A:$A,0))*K36</f>
        <v>2.302</v>
      </c>
      <c r="AI36" s="495">
        <f>INDEX('Hulpblad inkooptarieven'!D:D,MATCH('Rekenblad Verkeer'!$AI$3,'Hulpblad inkooptarieven'!$A:$A,0))*M36</f>
        <v>2.4020000000000001</v>
      </c>
      <c r="AJ36" s="495">
        <f>INDEX('Hulpblad inkooptarieven'!D:D,MATCH('Rekenblad Verkeer'!$AJ$3,'Hulpblad inkooptarieven'!$A:$A,0))*(O36+R36)</f>
        <v>5.3746650000000002</v>
      </c>
      <c r="AK36" s="495">
        <f>INDEX('Hulpblad inkooptarieven'!D:D,MATCH('Rekenblad Verkeer'!$AK$3,'Hulpblad inkooptarieven'!$A:$A,0))*Q36</f>
        <v>12.5</v>
      </c>
      <c r="AL36" s="879">
        <f t="shared" ref="AL36" si="257">SUM(AH36:AK36)</f>
        <v>22.578665000000001</v>
      </c>
      <c r="AM36" s="872">
        <f>AG36*Parameters!$B$3</f>
        <v>6</v>
      </c>
      <c r="AN36" s="495">
        <f>IF(LEFT(I36,2)="TZ",(('Vergoedingen grondslag'!$F$20+'Vergoedingen grondslag'!$I$20+'Vergoedingen grondslag'!$L$20+'Vergoedingen grondslag'!$O$20)*AG36)+('Vergoedingen grondslag'!$O$20*0+'Vergoedingen grondslag'!$R$20*0+'Vergoedingen grondslag'!$U$20*0)/Parameters!$B$9,('Vergoedingen grondslag'!$F$11+'Vergoedingen grondslag'!$I$11+'Vergoedingen grondslag'!$L$11+'Vergoedingen grondslag'!$O$11)*AG36)+('Vergoedingen grondslag'!$O$11*0+'Vergoedingen grondslag'!$R$11*0+'Vergoedingen grondslag'!$U$11+'Vergoedingen grondslag'!$X$11)/Parameters!$B$9</f>
        <v>2.4555555555555553</v>
      </c>
      <c r="AO36" s="178"/>
      <c r="AP36" s="874">
        <f t="shared" ref="AP36" si="258">SUM(AM36:AO36)</f>
        <v>8.4555555555555557</v>
      </c>
      <c r="AQ36" s="881">
        <f t="shared" ref="AQ36" si="259">AL36+AP36</f>
        <v>31.034220555555557</v>
      </c>
      <c r="AR36" s="880">
        <f t="shared" ref="AR36" si="260">AG36-AQ36</f>
        <v>28.965779444444443</v>
      </c>
      <c r="AS36" s="876">
        <f t="shared" ref="AS36" si="261">IFERROR(AR36/AG36,"")</f>
        <v>0.48276299074074075</v>
      </c>
      <c r="AT36" s="494" t="b">
        <f t="shared" ref="AT36" si="262">AR36&lt;0</f>
        <v>0</v>
      </c>
      <c r="AU36" s="882" t="s">
        <v>868</v>
      </c>
      <c r="AV36" s="96">
        <v>1</v>
      </c>
    </row>
    <row r="37" spans="1:48" s="96" customFormat="1" ht="14.4">
      <c r="A37" s="869" t="str">
        <f t="shared" si="249"/>
        <v>TZ ZBTISDN1100</v>
      </c>
      <c r="B37" s="494"/>
      <c r="C37" s="493" t="s">
        <v>717</v>
      </c>
      <c r="D37" s="178" t="s">
        <v>464</v>
      </c>
      <c r="E37" s="178"/>
      <c r="F37" s="96">
        <v>100</v>
      </c>
      <c r="G37" s="178"/>
      <c r="H37" s="178" t="str">
        <f t="shared" ref="H37:H38" si="263">C37&amp;D37&amp;E37&amp;F37</f>
        <v>TZ ZBTISDN1100</v>
      </c>
      <c r="I37" s="494" t="str">
        <f t="shared" ref="I37:I39" si="264">C37&amp;E37&amp;G37</f>
        <v>TZ ZBT</v>
      </c>
      <c r="J37" s="870">
        <f>INDEX(Verkeersprofielen!$B:$B,MATCH($H37,Verkeersprofielen!$A:$A,0))</f>
        <v>100</v>
      </c>
      <c r="K37" s="870">
        <f>INDEX(Verkeersprofielen!$C:$C,MATCH($H37,Verkeersprofielen!$A:$A,0))</f>
        <v>100</v>
      </c>
      <c r="L37" s="870">
        <f>INDEX(Verkeersprofielen!$D:$D,MATCH($H37,Verkeersprofielen!$A:$A,0))</f>
        <v>100</v>
      </c>
      <c r="M37" s="870">
        <f>INDEX(Verkeersprofielen!$E:$E,MATCH($H37,Verkeersprofielen!$A:$A,0))</f>
        <v>100</v>
      </c>
      <c r="N37" s="870">
        <f>INDEX(Verkeersprofielen!$F:$F,MATCH($H37,Verkeersprofielen!$A:$A,0))</f>
        <v>100</v>
      </c>
      <c r="O37" s="870">
        <f>INDEX(Verkeersprofielen!$G:$G,MATCH($H37,Verkeersprofielen!$A:$A,0))</f>
        <v>100</v>
      </c>
      <c r="P37" s="870">
        <f>INDEX(Verkeersprofielen!$H:$H,MATCH($H37,Verkeersprofielen!$A:$A,0))</f>
        <v>100</v>
      </c>
      <c r="Q37" s="870">
        <f>INDEX(Verkeersprofielen!$I:$I,MATCH($H37,Verkeersprofielen!$A:$A,0))</f>
        <v>100</v>
      </c>
      <c r="R37" s="870">
        <f>INDEX(Verkeersprofielen!$J:$J,MATCH($H37,Verkeersprofielen!$A:$A,0))</f>
        <v>0</v>
      </c>
      <c r="S37" s="871">
        <f>INDEX(Verkeersprofielen!$K:$K,MATCH($H37,Verkeersprofielen!$A:$A,0))</f>
        <v>0</v>
      </c>
      <c r="T37" s="883">
        <f>INDEX('Tarieven ZM'!$G:$G,MATCH($C37&amp;T$3,'Tarieven ZM'!$B:$B,0))*J37+K37*INDEX('Tarieven ZM'!$H:$H,MATCH($C37&amp;T$3,'Tarieven ZM'!$B:$B,0))</f>
        <v>15</v>
      </c>
      <c r="U37" s="873">
        <f>INDEX('Tarieven ZM'!$G:$G,MATCH($C37&amp;U$3,'Tarieven ZM'!$B:$B,0))*L37+M37*INDEX('Tarieven ZM'!$H:$H,MATCH($C37&amp;U$3,'Tarieven ZM'!$B:$B,0))</f>
        <v>15</v>
      </c>
      <c r="V37" s="873">
        <f>INDEX('Tarieven ZM'!$G:$G,MATCH($C37&amp;V$3,'Tarieven ZM'!$B:$B,0))*(N37+R37)+(O37+S37)*INDEX('Tarieven ZM'!$H:$H,MATCH($C37&amp;V$3,'Tarieven ZM'!$B:$B,0))</f>
        <v>15</v>
      </c>
      <c r="W37" s="873">
        <f>INDEX('Tarieven ZM'!$G:$G,MATCH($C37&amp;W$3,'Tarieven ZM'!$B:$B,0))*P37+Q37*INDEX('Tarieven ZM'!$H:$H,MATCH($C37&amp;W$3,'Tarieven ZM'!$B:$B,0))</f>
        <v>15</v>
      </c>
      <c r="X37" s="874">
        <f t="shared" ref="X37:X39" si="265">SUM(T37:W37)</f>
        <v>60</v>
      </c>
      <c r="Y37" s="884">
        <f>IF(ISNA(INDEX(Kortingsstaffels!$F:$F,MATCH($I37,Kortingsstaffels!$B:$B,0))),0,INDEX(Kortingsstaffels!$F:$F,MATCH($I37,Kortingsstaffels!$B:$B,0)))</f>
        <v>0</v>
      </c>
      <c r="Z37" s="876">
        <f>IF(ISNA(INDEX(Kortingsstaffels!$G:$G,MATCH($I37,Kortingsstaffels!$B:$B,0))),0,INDEX(Kortingsstaffels!$G:$G,MATCH($I37,Kortingsstaffels!$B:$B,0)))</f>
        <v>0</v>
      </c>
      <c r="AA37" s="876">
        <f>IF(ISNA(INDEX(Kortingsstaffels!$H:$H,MATCH($I37,Kortingsstaffels!$B:$B,0))),0,INDEX(Kortingsstaffels!$H:$H,MATCH($I37,Kortingsstaffels!$B:$B,0)))</f>
        <v>0</v>
      </c>
      <c r="AB37" s="877">
        <f>IF(ISNA(INDEX(Kortingsstaffels!$I:$I,MATCH($I37,Kortingsstaffels!$B:$B,0))),0,INDEX(Kortingsstaffels!$I:$I,MATCH($I37,Kortingsstaffels!$B:$B,0)))</f>
        <v>0</v>
      </c>
      <c r="AC37" s="885">
        <f t="shared" ref="AC37:AC39" si="266">T37*(1-Y37)</f>
        <v>15</v>
      </c>
      <c r="AD37" s="495">
        <f t="shared" ref="AD37:AD39" si="267">U37*(1-Z37)</f>
        <v>15</v>
      </c>
      <c r="AE37" s="495">
        <f t="shared" ref="AE37:AE39" si="268">V37*(1-AA37)</f>
        <v>15</v>
      </c>
      <c r="AF37" s="495">
        <f t="shared" ref="AF37:AF39" si="269">W37*(1-AB37)</f>
        <v>15</v>
      </c>
      <c r="AG37" s="879">
        <f t="shared" ref="AG37:AG39" si="270">SUM(AC37:AF37)</f>
        <v>60</v>
      </c>
      <c r="AH37" s="886">
        <f>INDEX('Hulpblad inkooptarieven'!$D:$D,MATCH('Rekenblad Verkeer'!$AH$3,'Hulpblad inkooptarieven'!$A:$A,0))*K37</f>
        <v>2.302</v>
      </c>
      <c r="AI37" s="495">
        <f>INDEX('Hulpblad inkooptarieven'!D:D,MATCH('Rekenblad Verkeer'!$AI$3,'Hulpblad inkooptarieven'!$A:$A,0))*M37</f>
        <v>2.4020000000000001</v>
      </c>
      <c r="AJ37" s="495">
        <f>INDEX('Hulpblad inkooptarieven'!D:D,MATCH('Rekenblad Verkeer'!$AJ$3,'Hulpblad inkooptarieven'!$A:$A,0))*(O37+R37)</f>
        <v>5.3746650000000002</v>
      </c>
      <c r="AK37" s="495">
        <f>INDEX('Hulpblad inkooptarieven'!D:D,MATCH('Rekenblad Verkeer'!$AK$3,'Hulpblad inkooptarieven'!$A:$A,0))*Q37</f>
        <v>12.5</v>
      </c>
      <c r="AL37" s="879">
        <f t="shared" ref="AL37:AL39" si="271">SUM(AH37:AK37)</f>
        <v>22.578665000000001</v>
      </c>
      <c r="AM37" s="883">
        <f>AG37*Parameters!$B$3</f>
        <v>6</v>
      </c>
      <c r="AN37" s="888">
        <f>IF(LEFT(I37,2)="TZ",(('Vergoedingen grondslag'!$F$20+'Vergoedingen grondslag'!$I$20+'Vergoedingen grondslag'!$L$20+'Vergoedingen grondslag'!$O$20)*AG37)+('Vergoedingen grondslag'!$O$20*0+'Vergoedingen grondslag'!$R$20*0+'Vergoedingen grondslag'!$U$20*0)/Parameters!$B$9,('Vergoedingen grondslag'!$F$11+'Vergoedingen grondslag'!$I$11+'Vergoedingen grondslag'!$L$11+'Vergoedingen grondslag'!$O$11)*AG37)+('Vergoedingen grondslag'!$O$11*0+'Vergoedingen grondslag'!$R$11*0+'Vergoedingen grondslag'!$U$11+'Vergoedingen grondslag'!$X$11)/Parameters!$B$9</f>
        <v>2.4555555555555553</v>
      </c>
      <c r="AP37" s="874">
        <f t="shared" ref="AP37:AP39" si="272">SUM(AM37:AO37)</f>
        <v>8.4555555555555557</v>
      </c>
      <c r="AQ37" s="887">
        <f t="shared" ref="AQ37:AQ39" si="273">AL37+AP37</f>
        <v>31.034220555555557</v>
      </c>
      <c r="AR37" s="886">
        <f t="shared" ref="AR37:AR39" si="274">AG37-AQ37</f>
        <v>28.965779444444443</v>
      </c>
      <c r="AS37" s="876">
        <f t="shared" ref="AS37:AS38" si="275">IFERROR(AR37/AG37,"")</f>
        <v>0.48276299074074075</v>
      </c>
      <c r="AT37" s="494" t="b">
        <f t="shared" ref="AT37:AT39" si="276">AR37&lt;0</f>
        <v>0</v>
      </c>
      <c r="AU37" s="882" t="s">
        <v>868</v>
      </c>
      <c r="AV37" s="96">
        <v>1</v>
      </c>
    </row>
    <row r="38" spans="1:48" s="96" customFormat="1" ht="14.4">
      <c r="A38" s="869" t="str">
        <f t="shared" si="249"/>
        <v>TZ ZBTISDN2100</v>
      </c>
      <c r="B38" s="494"/>
      <c r="C38" s="493" t="s">
        <v>717</v>
      </c>
      <c r="D38" s="178" t="s">
        <v>465</v>
      </c>
      <c r="E38" s="178"/>
      <c r="F38" s="96">
        <v>100</v>
      </c>
      <c r="G38" s="178"/>
      <c r="H38" s="178" t="str">
        <f t="shared" si="263"/>
        <v>TZ ZBTISDN2100</v>
      </c>
      <c r="I38" s="494" t="str">
        <f t="shared" si="264"/>
        <v>TZ ZBT</v>
      </c>
      <c r="J38" s="870">
        <f>INDEX(Verkeersprofielen!$B:$B,MATCH($H38,Verkeersprofielen!$A:$A,0))</f>
        <v>100</v>
      </c>
      <c r="K38" s="870">
        <f>INDEX(Verkeersprofielen!$C:$C,MATCH($H38,Verkeersprofielen!$A:$A,0))</f>
        <v>100</v>
      </c>
      <c r="L38" s="870">
        <f>INDEX(Verkeersprofielen!$D:$D,MATCH($H38,Verkeersprofielen!$A:$A,0))</f>
        <v>100</v>
      </c>
      <c r="M38" s="870">
        <f>INDEX(Verkeersprofielen!$E:$E,MATCH($H38,Verkeersprofielen!$A:$A,0))</f>
        <v>100</v>
      </c>
      <c r="N38" s="870">
        <f>INDEX(Verkeersprofielen!$F:$F,MATCH($H38,Verkeersprofielen!$A:$A,0))</f>
        <v>100</v>
      </c>
      <c r="O38" s="870">
        <f>INDEX(Verkeersprofielen!$G:$G,MATCH($H38,Verkeersprofielen!$A:$A,0))</f>
        <v>100</v>
      </c>
      <c r="P38" s="870">
        <f>INDEX(Verkeersprofielen!$H:$H,MATCH($H38,Verkeersprofielen!$A:$A,0))</f>
        <v>100</v>
      </c>
      <c r="Q38" s="870">
        <f>INDEX(Verkeersprofielen!$I:$I,MATCH($H38,Verkeersprofielen!$A:$A,0))</f>
        <v>100</v>
      </c>
      <c r="R38" s="870">
        <f>INDEX(Verkeersprofielen!$J:$J,MATCH($H38,Verkeersprofielen!$A:$A,0))</f>
        <v>0</v>
      </c>
      <c r="S38" s="871">
        <f>INDEX(Verkeersprofielen!$K:$K,MATCH($H38,Verkeersprofielen!$A:$A,0))</f>
        <v>0</v>
      </c>
      <c r="T38" s="883">
        <f>INDEX('Tarieven ZM'!$G:$G,MATCH($C38&amp;T$3,'Tarieven ZM'!$B:$B,0))*J38+K38*INDEX('Tarieven ZM'!$H:$H,MATCH($C38&amp;T$3,'Tarieven ZM'!$B:$B,0))</f>
        <v>15</v>
      </c>
      <c r="U38" s="873">
        <f>INDEX('Tarieven ZM'!$G:$G,MATCH($C38&amp;U$3,'Tarieven ZM'!$B:$B,0))*L38+M38*INDEX('Tarieven ZM'!$H:$H,MATCH($C38&amp;U$3,'Tarieven ZM'!$B:$B,0))</f>
        <v>15</v>
      </c>
      <c r="V38" s="873">
        <f>INDEX('Tarieven ZM'!$G:$G,MATCH($C38&amp;V$3,'Tarieven ZM'!$B:$B,0))*(N38+R38)+(O38+S38)*INDEX('Tarieven ZM'!$H:$H,MATCH($C38&amp;V$3,'Tarieven ZM'!$B:$B,0))</f>
        <v>15</v>
      </c>
      <c r="W38" s="873">
        <f>INDEX('Tarieven ZM'!$G:$G,MATCH($C38&amp;W$3,'Tarieven ZM'!$B:$B,0))*P38+Q38*INDEX('Tarieven ZM'!$H:$H,MATCH($C38&amp;W$3,'Tarieven ZM'!$B:$B,0))</f>
        <v>15</v>
      </c>
      <c r="X38" s="874">
        <f t="shared" si="265"/>
        <v>60</v>
      </c>
      <c r="Y38" s="884">
        <f>IF(ISNA(INDEX(Kortingsstaffels!$F:$F,MATCH($I38,Kortingsstaffels!$B:$B,0))),0,INDEX(Kortingsstaffels!$F:$F,MATCH($I38,Kortingsstaffels!$B:$B,0)))</f>
        <v>0</v>
      </c>
      <c r="Z38" s="876">
        <f>IF(ISNA(INDEX(Kortingsstaffels!$G:$G,MATCH($I38,Kortingsstaffels!$B:$B,0))),0,INDEX(Kortingsstaffels!$G:$G,MATCH($I38,Kortingsstaffels!$B:$B,0)))</f>
        <v>0</v>
      </c>
      <c r="AA38" s="876">
        <f>IF(ISNA(INDEX(Kortingsstaffels!$H:$H,MATCH($I38,Kortingsstaffels!$B:$B,0))),0,INDEX(Kortingsstaffels!$H:$H,MATCH($I38,Kortingsstaffels!$B:$B,0)))</f>
        <v>0</v>
      </c>
      <c r="AB38" s="877">
        <f>IF(ISNA(INDEX(Kortingsstaffels!$I:$I,MATCH($I38,Kortingsstaffels!$B:$B,0))),0,INDEX(Kortingsstaffels!$I:$I,MATCH($I38,Kortingsstaffels!$B:$B,0)))</f>
        <v>0</v>
      </c>
      <c r="AC38" s="885">
        <f t="shared" si="266"/>
        <v>15</v>
      </c>
      <c r="AD38" s="495">
        <f t="shared" si="267"/>
        <v>15</v>
      </c>
      <c r="AE38" s="495">
        <f t="shared" si="268"/>
        <v>15</v>
      </c>
      <c r="AF38" s="495">
        <f t="shared" si="269"/>
        <v>15</v>
      </c>
      <c r="AG38" s="879">
        <f t="shared" si="270"/>
        <v>60</v>
      </c>
      <c r="AH38" s="886">
        <f>INDEX('Hulpblad inkooptarieven'!$D:$D,MATCH('Rekenblad Verkeer'!$AH$3,'Hulpblad inkooptarieven'!$A:$A,0))*K38</f>
        <v>2.302</v>
      </c>
      <c r="AI38" s="495">
        <f>INDEX('Hulpblad inkooptarieven'!D:D,MATCH('Rekenblad Verkeer'!$AI$3,'Hulpblad inkooptarieven'!$A:$A,0))*M38</f>
        <v>2.4020000000000001</v>
      </c>
      <c r="AJ38" s="495">
        <f>INDEX('Hulpblad inkooptarieven'!D:D,MATCH('Rekenblad Verkeer'!$AJ$3,'Hulpblad inkooptarieven'!$A:$A,0))*(O38+R38)</f>
        <v>5.3746650000000002</v>
      </c>
      <c r="AK38" s="495">
        <f>INDEX('Hulpblad inkooptarieven'!D:D,MATCH('Rekenblad Verkeer'!$AK$3,'Hulpblad inkooptarieven'!$A:$A,0))*Q38</f>
        <v>12.5</v>
      </c>
      <c r="AL38" s="879">
        <f t="shared" si="271"/>
        <v>22.578665000000001</v>
      </c>
      <c r="AM38" s="883">
        <f>AG38*Parameters!$B$3</f>
        <v>6</v>
      </c>
      <c r="AN38" s="888">
        <f>IF(LEFT(I38,2)="TZ",(('Vergoedingen grondslag'!$F$20+'Vergoedingen grondslag'!$I$20+'Vergoedingen grondslag'!$L$20+'Vergoedingen grondslag'!$O$20)*AG38)+('Vergoedingen grondslag'!$O$20*0+'Vergoedingen grondslag'!$R$20*0+'Vergoedingen grondslag'!$U$20*0)/Parameters!$B$9,('Vergoedingen grondslag'!$F$11+'Vergoedingen grondslag'!$I$11+'Vergoedingen grondslag'!$L$11+'Vergoedingen grondslag'!$O$11)*AG38)+('Vergoedingen grondslag'!$O$11*0+'Vergoedingen grondslag'!$R$11*0+'Vergoedingen grondslag'!$U$11+'Vergoedingen grondslag'!$X$11)/Parameters!$B$9</f>
        <v>2.4555555555555553</v>
      </c>
      <c r="AP38" s="874">
        <f t="shared" si="272"/>
        <v>8.4555555555555557</v>
      </c>
      <c r="AQ38" s="887">
        <f t="shared" si="273"/>
        <v>31.034220555555557</v>
      </c>
      <c r="AR38" s="886">
        <f t="shared" si="274"/>
        <v>28.965779444444443</v>
      </c>
      <c r="AS38" s="876">
        <f t="shared" si="275"/>
        <v>0.48276299074074075</v>
      </c>
      <c r="AT38" s="494" t="b">
        <f t="shared" si="276"/>
        <v>0</v>
      </c>
      <c r="AU38" s="882" t="s">
        <v>868</v>
      </c>
      <c r="AV38" s="96">
        <v>1</v>
      </c>
    </row>
    <row r="39" spans="1:48" s="96" customFormat="1" ht="14.4">
      <c r="A39" s="869" t="str">
        <f t="shared" ref="A39:A40" si="277">C39&amp;D39&amp;E39&amp;F39&amp;G39</f>
        <v>TZ ZBTISDN15100</v>
      </c>
      <c r="B39" s="494"/>
      <c r="C39" s="493" t="s">
        <v>717</v>
      </c>
      <c r="D39" s="178" t="s">
        <v>466</v>
      </c>
      <c r="E39" s="178"/>
      <c r="F39" s="96">
        <v>100</v>
      </c>
      <c r="G39" s="178"/>
      <c r="H39" s="178" t="str">
        <f t="shared" ref="H39" si="278">C39&amp;D39&amp;E39&amp;F39</f>
        <v>TZ ZBTISDN15100</v>
      </c>
      <c r="I39" s="494" t="str">
        <f t="shared" si="264"/>
        <v>TZ ZBT</v>
      </c>
      <c r="J39" s="870">
        <f>INDEX(Verkeersprofielen!$B:$B,MATCH($H39,Verkeersprofielen!$A:$A,0))</f>
        <v>100</v>
      </c>
      <c r="K39" s="870">
        <f>INDEX(Verkeersprofielen!$C:$C,MATCH($H39,Verkeersprofielen!$A:$A,0))</f>
        <v>100</v>
      </c>
      <c r="L39" s="870">
        <f>INDEX(Verkeersprofielen!$D:$D,MATCH($H39,Verkeersprofielen!$A:$A,0))</f>
        <v>100</v>
      </c>
      <c r="M39" s="870">
        <f>INDEX(Verkeersprofielen!$E:$E,MATCH($H39,Verkeersprofielen!$A:$A,0))</f>
        <v>100</v>
      </c>
      <c r="N39" s="870">
        <f>INDEX(Verkeersprofielen!$F:$F,MATCH($H39,Verkeersprofielen!$A:$A,0))</f>
        <v>100</v>
      </c>
      <c r="O39" s="870">
        <f>INDEX(Verkeersprofielen!$G:$G,MATCH($H39,Verkeersprofielen!$A:$A,0))</f>
        <v>100</v>
      </c>
      <c r="P39" s="870">
        <f>INDEX(Verkeersprofielen!$H:$H,MATCH($H39,Verkeersprofielen!$A:$A,0))</f>
        <v>100</v>
      </c>
      <c r="Q39" s="870">
        <f>INDEX(Verkeersprofielen!$I:$I,MATCH($H39,Verkeersprofielen!$A:$A,0))</f>
        <v>100</v>
      </c>
      <c r="R39" s="870">
        <f>INDEX(Verkeersprofielen!$J:$J,MATCH($H39,Verkeersprofielen!$A:$A,0))</f>
        <v>0</v>
      </c>
      <c r="S39" s="871">
        <f>INDEX(Verkeersprofielen!$K:$K,MATCH($H39,Verkeersprofielen!$A:$A,0))</f>
        <v>0</v>
      </c>
      <c r="T39" s="883">
        <f>INDEX('Tarieven ZM'!$G:$G,MATCH($C39&amp;T$3,'Tarieven ZM'!$B:$B,0))*J39+K39*INDEX('Tarieven ZM'!$H:$H,MATCH($C39&amp;T$3,'Tarieven ZM'!$B:$B,0))</f>
        <v>15</v>
      </c>
      <c r="U39" s="873">
        <f>INDEX('Tarieven ZM'!$G:$G,MATCH($C39&amp;U$3,'Tarieven ZM'!$B:$B,0))*L39+M39*INDEX('Tarieven ZM'!$H:$H,MATCH($C39&amp;U$3,'Tarieven ZM'!$B:$B,0))</f>
        <v>15</v>
      </c>
      <c r="V39" s="873">
        <f>INDEX('Tarieven ZM'!$G:$G,MATCH($C39&amp;V$3,'Tarieven ZM'!$B:$B,0))*(N39+R39)+(O39+S39)*INDEX('Tarieven ZM'!$H:$H,MATCH($C39&amp;V$3,'Tarieven ZM'!$B:$B,0))</f>
        <v>15</v>
      </c>
      <c r="W39" s="873">
        <f>INDEX('Tarieven ZM'!$G:$G,MATCH($C39&amp;W$3,'Tarieven ZM'!$B:$B,0))*P39+Q39*INDEX('Tarieven ZM'!$H:$H,MATCH($C39&amp;W$3,'Tarieven ZM'!$B:$B,0))</f>
        <v>15</v>
      </c>
      <c r="X39" s="874">
        <f t="shared" si="265"/>
        <v>60</v>
      </c>
      <c r="Y39" s="884">
        <f>IF(ISNA(INDEX(Kortingsstaffels!$F:$F,MATCH($I39,Kortingsstaffels!$B:$B,0))),0,INDEX(Kortingsstaffels!$F:$F,MATCH($I39,Kortingsstaffels!$B:$B,0)))</f>
        <v>0</v>
      </c>
      <c r="Z39" s="876">
        <f>IF(ISNA(INDEX(Kortingsstaffels!$G:$G,MATCH($I39,Kortingsstaffels!$B:$B,0))),0,INDEX(Kortingsstaffels!$G:$G,MATCH($I39,Kortingsstaffels!$B:$B,0)))</f>
        <v>0</v>
      </c>
      <c r="AA39" s="876">
        <f>IF(ISNA(INDEX(Kortingsstaffels!$H:$H,MATCH($I39,Kortingsstaffels!$B:$B,0))),0,INDEX(Kortingsstaffels!$H:$H,MATCH($I39,Kortingsstaffels!$B:$B,0)))</f>
        <v>0</v>
      </c>
      <c r="AB39" s="877">
        <f>IF(ISNA(INDEX(Kortingsstaffels!$I:$I,MATCH($I39,Kortingsstaffels!$B:$B,0))),0,INDEX(Kortingsstaffels!$I:$I,MATCH($I39,Kortingsstaffels!$B:$B,0)))</f>
        <v>0</v>
      </c>
      <c r="AC39" s="885">
        <f t="shared" si="266"/>
        <v>15</v>
      </c>
      <c r="AD39" s="495">
        <f t="shared" si="267"/>
        <v>15</v>
      </c>
      <c r="AE39" s="495">
        <f t="shared" si="268"/>
        <v>15</v>
      </c>
      <c r="AF39" s="495">
        <f t="shared" si="269"/>
        <v>15</v>
      </c>
      <c r="AG39" s="879">
        <f t="shared" si="270"/>
        <v>60</v>
      </c>
      <c r="AH39" s="886">
        <f>INDEX('Hulpblad inkooptarieven'!$D:$D,MATCH('Rekenblad Verkeer'!$AH$3,'Hulpblad inkooptarieven'!$A:$A,0))*K39</f>
        <v>2.302</v>
      </c>
      <c r="AI39" s="495">
        <f>INDEX('Hulpblad inkooptarieven'!D:D,MATCH('Rekenblad Verkeer'!$AI$3,'Hulpblad inkooptarieven'!$A:$A,0))*M39</f>
        <v>2.4020000000000001</v>
      </c>
      <c r="AJ39" s="495">
        <f>INDEX('Hulpblad inkooptarieven'!D:D,MATCH('Rekenblad Verkeer'!$AJ$3,'Hulpblad inkooptarieven'!$A:$A,0))*(O39+R39)</f>
        <v>5.3746650000000002</v>
      </c>
      <c r="AK39" s="495">
        <f>INDEX('Hulpblad inkooptarieven'!D:D,MATCH('Rekenblad Verkeer'!$AK$3,'Hulpblad inkooptarieven'!$A:$A,0))*Q39</f>
        <v>12.5</v>
      </c>
      <c r="AL39" s="879">
        <f t="shared" si="271"/>
        <v>22.578665000000001</v>
      </c>
      <c r="AM39" s="883">
        <f>AG39*Parameters!$B$3</f>
        <v>6</v>
      </c>
      <c r="AN39" s="888">
        <f>IF(LEFT(I39,2)="TZ",(('Vergoedingen grondslag'!$F$20+'Vergoedingen grondslag'!$I$20+'Vergoedingen grondslag'!$L$20+'Vergoedingen grondslag'!$O$20)*AG39)+('Vergoedingen grondslag'!$O$20*0+'Vergoedingen grondslag'!$R$20*0+'Vergoedingen grondslag'!$U$20*0)/Parameters!$B$9,('Vergoedingen grondslag'!$F$11+'Vergoedingen grondslag'!$I$11+'Vergoedingen grondslag'!$L$11+'Vergoedingen grondslag'!$O$11)*AG39)+('Vergoedingen grondslag'!$O$11*0+'Vergoedingen grondslag'!$R$11*0+'Vergoedingen grondslag'!$U$11+'Vergoedingen grondslag'!$X$11)/Parameters!$B$9</f>
        <v>2.4555555555555553</v>
      </c>
      <c r="AP39" s="874">
        <f t="shared" si="272"/>
        <v>8.4555555555555557</v>
      </c>
      <c r="AQ39" s="887">
        <f t="shared" si="273"/>
        <v>31.034220555555557</v>
      </c>
      <c r="AR39" s="886">
        <f t="shared" si="274"/>
        <v>28.965779444444443</v>
      </c>
      <c r="AS39" s="876">
        <f t="shared" ref="AS39:AS40" si="279">IFERROR(AR39/AG39,"")</f>
        <v>0.48276299074074075</v>
      </c>
      <c r="AT39" s="494" t="b">
        <f t="shared" si="276"/>
        <v>0</v>
      </c>
      <c r="AU39" s="882" t="s">
        <v>868</v>
      </c>
      <c r="AV39" s="96">
        <v>1</v>
      </c>
    </row>
    <row r="40" spans="1:48" s="96" customFormat="1" ht="14.4">
      <c r="A40" s="869" t="str">
        <f t="shared" si="277"/>
        <v>TZ ZBTISDN20100</v>
      </c>
      <c r="B40" s="494"/>
      <c r="C40" s="493" t="s">
        <v>717</v>
      </c>
      <c r="D40" s="178" t="s">
        <v>468</v>
      </c>
      <c r="E40" s="178"/>
      <c r="F40" s="96">
        <v>100</v>
      </c>
      <c r="G40" s="178"/>
      <c r="H40" s="178" t="str">
        <f t="shared" ref="H40" si="280">C40&amp;D40&amp;E40&amp;F40</f>
        <v>TZ ZBTISDN20100</v>
      </c>
      <c r="I40" s="494" t="str">
        <f t="shared" ref="I40" si="281">C40&amp;E40&amp;G40</f>
        <v>TZ ZBT</v>
      </c>
      <c r="J40" s="870">
        <f>INDEX(Verkeersprofielen!$B:$B,MATCH($H40,Verkeersprofielen!$A:$A,0))</f>
        <v>100</v>
      </c>
      <c r="K40" s="870">
        <f>INDEX(Verkeersprofielen!$C:$C,MATCH($H40,Verkeersprofielen!$A:$A,0))</f>
        <v>100</v>
      </c>
      <c r="L40" s="870">
        <f>INDEX(Verkeersprofielen!$D:$D,MATCH($H40,Verkeersprofielen!$A:$A,0))</f>
        <v>100</v>
      </c>
      <c r="M40" s="870">
        <f>INDEX(Verkeersprofielen!$E:$E,MATCH($H40,Verkeersprofielen!$A:$A,0))</f>
        <v>100</v>
      </c>
      <c r="N40" s="870">
        <f>INDEX(Verkeersprofielen!$F:$F,MATCH($H40,Verkeersprofielen!$A:$A,0))</f>
        <v>100</v>
      </c>
      <c r="O40" s="870">
        <f>INDEX(Verkeersprofielen!$G:$G,MATCH($H40,Verkeersprofielen!$A:$A,0))</f>
        <v>100</v>
      </c>
      <c r="P40" s="870">
        <f>INDEX(Verkeersprofielen!$H:$H,MATCH($H40,Verkeersprofielen!$A:$A,0))</f>
        <v>100</v>
      </c>
      <c r="Q40" s="870">
        <f>INDEX(Verkeersprofielen!$I:$I,MATCH($H40,Verkeersprofielen!$A:$A,0))</f>
        <v>100</v>
      </c>
      <c r="R40" s="870">
        <f>INDEX(Verkeersprofielen!$J:$J,MATCH($H40,Verkeersprofielen!$A:$A,0))</f>
        <v>0</v>
      </c>
      <c r="S40" s="871">
        <f>INDEX(Verkeersprofielen!$K:$K,MATCH($H40,Verkeersprofielen!$A:$A,0))</f>
        <v>0</v>
      </c>
      <c r="T40" s="883">
        <f>INDEX('Tarieven ZM'!$G:$G,MATCH($C40&amp;T$3,'Tarieven ZM'!$B:$B,0))*J40+K40*INDEX('Tarieven ZM'!$H:$H,MATCH($C40&amp;T$3,'Tarieven ZM'!$B:$B,0))</f>
        <v>15</v>
      </c>
      <c r="U40" s="873">
        <f>INDEX('Tarieven ZM'!$G:$G,MATCH($C40&amp;U$3,'Tarieven ZM'!$B:$B,0))*L40+M40*INDEX('Tarieven ZM'!$H:$H,MATCH($C40&amp;U$3,'Tarieven ZM'!$B:$B,0))</f>
        <v>15</v>
      </c>
      <c r="V40" s="873">
        <f>INDEX('Tarieven ZM'!$G:$G,MATCH($C40&amp;V$3,'Tarieven ZM'!$B:$B,0))*(N40+R40)+(O40+S40)*INDEX('Tarieven ZM'!$H:$H,MATCH($C40&amp;V$3,'Tarieven ZM'!$B:$B,0))</f>
        <v>15</v>
      </c>
      <c r="W40" s="873">
        <f>INDEX('Tarieven ZM'!$G:$G,MATCH($C40&amp;W$3,'Tarieven ZM'!$B:$B,0))*P40+Q40*INDEX('Tarieven ZM'!$H:$H,MATCH($C40&amp;W$3,'Tarieven ZM'!$B:$B,0))</f>
        <v>15</v>
      </c>
      <c r="X40" s="874">
        <f t="shared" ref="X40" si="282">SUM(T40:W40)</f>
        <v>60</v>
      </c>
      <c r="Y40" s="884">
        <f>IF(ISNA(INDEX(Kortingsstaffels!$F:$F,MATCH($I40,Kortingsstaffels!$B:$B,0))),0,INDEX(Kortingsstaffels!$F:$F,MATCH($I40,Kortingsstaffels!$B:$B,0)))</f>
        <v>0</v>
      </c>
      <c r="Z40" s="876">
        <f>IF(ISNA(INDEX(Kortingsstaffels!$G:$G,MATCH($I40,Kortingsstaffels!$B:$B,0))),0,INDEX(Kortingsstaffels!$G:$G,MATCH($I40,Kortingsstaffels!$B:$B,0)))</f>
        <v>0</v>
      </c>
      <c r="AA40" s="876">
        <f>IF(ISNA(INDEX(Kortingsstaffels!$H:$H,MATCH($I40,Kortingsstaffels!$B:$B,0))),0,INDEX(Kortingsstaffels!$H:$H,MATCH($I40,Kortingsstaffels!$B:$B,0)))</f>
        <v>0</v>
      </c>
      <c r="AB40" s="877">
        <f>IF(ISNA(INDEX(Kortingsstaffels!$I:$I,MATCH($I40,Kortingsstaffels!$B:$B,0))),0,INDEX(Kortingsstaffels!$I:$I,MATCH($I40,Kortingsstaffels!$B:$B,0)))</f>
        <v>0</v>
      </c>
      <c r="AC40" s="885">
        <f t="shared" ref="AC40" si="283">T40*(1-Y40)</f>
        <v>15</v>
      </c>
      <c r="AD40" s="495">
        <f t="shared" ref="AD40" si="284">U40*(1-Z40)</f>
        <v>15</v>
      </c>
      <c r="AE40" s="495">
        <f t="shared" ref="AE40" si="285">V40*(1-AA40)</f>
        <v>15</v>
      </c>
      <c r="AF40" s="495">
        <f t="shared" ref="AF40" si="286">W40*(1-AB40)</f>
        <v>15</v>
      </c>
      <c r="AG40" s="879">
        <f t="shared" ref="AG40" si="287">SUM(AC40:AF40)</f>
        <v>60</v>
      </c>
      <c r="AH40" s="886">
        <f>INDEX('Hulpblad inkooptarieven'!$D:$D,MATCH('Rekenblad Verkeer'!$AH$3,'Hulpblad inkooptarieven'!$A:$A,0))*K40</f>
        <v>2.302</v>
      </c>
      <c r="AI40" s="495">
        <f>INDEX('Hulpblad inkooptarieven'!D:D,MATCH('Rekenblad Verkeer'!$AI$3,'Hulpblad inkooptarieven'!$A:$A,0))*M40</f>
        <v>2.4020000000000001</v>
      </c>
      <c r="AJ40" s="495">
        <f>INDEX('Hulpblad inkooptarieven'!D:D,MATCH('Rekenblad Verkeer'!$AJ$3,'Hulpblad inkooptarieven'!$A:$A,0))*(O40+R40)</f>
        <v>5.3746650000000002</v>
      </c>
      <c r="AK40" s="495">
        <f>INDEX('Hulpblad inkooptarieven'!D:D,MATCH('Rekenblad Verkeer'!$AK$3,'Hulpblad inkooptarieven'!$A:$A,0))*Q40</f>
        <v>12.5</v>
      </c>
      <c r="AL40" s="879">
        <f t="shared" ref="AL40" si="288">SUM(AH40:AK40)</f>
        <v>22.578665000000001</v>
      </c>
      <c r="AM40" s="883">
        <f>AG40*Parameters!$B$3</f>
        <v>6</v>
      </c>
      <c r="AN40" s="888">
        <f>IF(LEFT(I40,2)="TZ",(('Vergoedingen grondslag'!$F$20+'Vergoedingen grondslag'!$I$20+'Vergoedingen grondslag'!$L$20+'Vergoedingen grondslag'!$O$20)*AG40)+('Vergoedingen grondslag'!$O$20*0+'Vergoedingen grondslag'!$R$20*0+'Vergoedingen grondslag'!$U$20*0)/Parameters!$B$9,('Vergoedingen grondslag'!$F$11+'Vergoedingen grondslag'!$I$11+'Vergoedingen grondslag'!$L$11+'Vergoedingen grondslag'!$O$11)*AG40)+('Vergoedingen grondslag'!$O$11*0+'Vergoedingen grondslag'!$R$11*0+'Vergoedingen grondslag'!$U$11+'Vergoedingen grondslag'!$X$11)/Parameters!$B$9</f>
        <v>2.4555555555555553</v>
      </c>
      <c r="AP40" s="874">
        <f t="shared" ref="AP40" si="289">SUM(AM40:AO40)</f>
        <v>8.4555555555555557</v>
      </c>
      <c r="AQ40" s="887">
        <f t="shared" ref="AQ40" si="290">AL40+AP40</f>
        <v>31.034220555555557</v>
      </c>
      <c r="AR40" s="886">
        <f t="shared" ref="AR40" si="291">AG40-AQ40</f>
        <v>28.965779444444443</v>
      </c>
      <c r="AS40" s="876">
        <f t="shared" si="279"/>
        <v>0.48276299074074075</v>
      </c>
      <c r="AT40" s="494" t="b">
        <f t="shared" ref="AT40" si="292">AR40&lt;0</f>
        <v>0</v>
      </c>
      <c r="AU40" s="882" t="s">
        <v>868</v>
      </c>
      <c r="AV40" s="96">
        <v>1</v>
      </c>
    </row>
    <row r="41" spans="1:48" s="96" customFormat="1" ht="14.4">
      <c r="A41" s="869" t="str">
        <f t="shared" ref="A41" si="293">C41&amp;D41&amp;E41&amp;F41&amp;G41</f>
        <v>TZ ZBTISDN30100</v>
      </c>
      <c r="B41" s="494"/>
      <c r="C41" s="493" t="s">
        <v>717</v>
      </c>
      <c r="D41" s="178" t="s">
        <v>469</v>
      </c>
      <c r="E41" s="178"/>
      <c r="F41" s="96">
        <v>100</v>
      </c>
      <c r="G41" s="178"/>
      <c r="H41" s="178" t="str">
        <f t="shared" ref="H41" si="294">C41&amp;D41&amp;E41&amp;F41</f>
        <v>TZ ZBTISDN30100</v>
      </c>
      <c r="I41" s="494" t="str">
        <f t="shared" ref="I41" si="295">C41&amp;E41&amp;G41</f>
        <v>TZ ZBT</v>
      </c>
      <c r="J41" s="870">
        <f>INDEX(Verkeersprofielen!$B:$B,MATCH($H41,Verkeersprofielen!$A:$A,0))</f>
        <v>100</v>
      </c>
      <c r="K41" s="870">
        <f>INDEX(Verkeersprofielen!$C:$C,MATCH($H41,Verkeersprofielen!$A:$A,0))</f>
        <v>100</v>
      </c>
      <c r="L41" s="870">
        <f>INDEX(Verkeersprofielen!$D:$D,MATCH($H41,Verkeersprofielen!$A:$A,0))</f>
        <v>100</v>
      </c>
      <c r="M41" s="870">
        <f>INDEX(Verkeersprofielen!$E:$E,MATCH($H41,Verkeersprofielen!$A:$A,0))</f>
        <v>100</v>
      </c>
      <c r="N41" s="870">
        <f>INDEX(Verkeersprofielen!$F:$F,MATCH($H41,Verkeersprofielen!$A:$A,0))</f>
        <v>100</v>
      </c>
      <c r="O41" s="870">
        <f>INDEX(Verkeersprofielen!$G:$G,MATCH($H41,Verkeersprofielen!$A:$A,0))</f>
        <v>100</v>
      </c>
      <c r="P41" s="870">
        <f>INDEX(Verkeersprofielen!$H:$H,MATCH($H41,Verkeersprofielen!$A:$A,0))</f>
        <v>100</v>
      </c>
      <c r="Q41" s="870">
        <f>INDEX(Verkeersprofielen!$I:$I,MATCH($H41,Verkeersprofielen!$A:$A,0))</f>
        <v>100</v>
      </c>
      <c r="R41" s="870">
        <f>INDEX(Verkeersprofielen!$J:$J,MATCH($H41,Verkeersprofielen!$A:$A,0))</f>
        <v>0</v>
      </c>
      <c r="S41" s="871">
        <f>INDEX(Verkeersprofielen!$K:$K,MATCH($H41,Verkeersprofielen!$A:$A,0))</f>
        <v>0</v>
      </c>
      <c r="T41" s="883">
        <f>INDEX('Tarieven ZM'!$G:$G,MATCH($C41&amp;T$3,'Tarieven ZM'!$B:$B,0))*J41+K41*INDEX('Tarieven ZM'!$H:$H,MATCH($C41&amp;T$3,'Tarieven ZM'!$B:$B,0))</f>
        <v>15</v>
      </c>
      <c r="U41" s="873">
        <f>INDEX('Tarieven ZM'!$G:$G,MATCH($C41&amp;U$3,'Tarieven ZM'!$B:$B,0))*L41+M41*INDEX('Tarieven ZM'!$H:$H,MATCH($C41&amp;U$3,'Tarieven ZM'!$B:$B,0))</f>
        <v>15</v>
      </c>
      <c r="V41" s="873">
        <f>INDEX('Tarieven ZM'!$G:$G,MATCH($C41&amp;V$3,'Tarieven ZM'!$B:$B,0))*(N41+R41)+(O41+S41)*INDEX('Tarieven ZM'!$H:$H,MATCH($C41&amp;V$3,'Tarieven ZM'!$B:$B,0))</f>
        <v>15</v>
      </c>
      <c r="W41" s="873">
        <f>INDEX('Tarieven ZM'!$G:$G,MATCH($C41&amp;W$3,'Tarieven ZM'!$B:$B,0))*P41+Q41*INDEX('Tarieven ZM'!$H:$H,MATCH($C41&amp;W$3,'Tarieven ZM'!$B:$B,0))</f>
        <v>15</v>
      </c>
      <c r="X41" s="874">
        <f t="shared" ref="X41" si="296">SUM(T41:W41)</f>
        <v>60</v>
      </c>
      <c r="Y41" s="884">
        <f>IF(ISNA(INDEX(Kortingsstaffels!$F:$F,MATCH($I41,Kortingsstaffels!$B:$B,0))),0,INDEX(Kortingsstaffels!$F:$F,MATCH($I41,Kortingsstaffels!$B:$B,0)))</f>
        <v>0</v>
      </c>
      <c r="Z41" s="876">
        <f>IF(ISNA(INDEX(Kortingsstaffels!$G:$G,MATCH($I41,Kortingsstaffels!$B:$B,0))),0,INDEX(Kortingsstaffels!$G:$G,MATCH($I41,Kortingsstaffels!$B:$B,0)))</f>
        <v>0</v>
      </c>
      <c r="AA41" s="876">
        <f>IF(ISNA(INDEX(Kortingsstaffels!$H:$H,MATCH($I41,Kortingsstaffels!$B:$B,0))),0,INDEX(Kortingsstaffels!$H:$H,MATCH($I41,Kortingsstaffels!$B:$B,0)))</f>
        <v>0</v>
      </c>
      <c r="AB41" s="877">
        <f>IF(ISNA(INDEX(Kortingsstaffels!$I:$I,MATCH($I41,Kortingsstaffels!$B:$B,0))),0,INDEX(Kortingsstaffels!$I:$I,MATCH($I41,Kortingsstaffels!$B:$B,0)))</f>
        <v>0</v>
      </c>
      <c r="AC41" s="885">
        <f t="shared" ref="AC41" si="297">T41*(1-Y41)</f>
        <v>15</v>
      </c>
      <c r="AD41" s="495">
        <f t="shared" ref="AD41" si="298">U41*(1-Z41)</f>
        <v>15</v>
      </c>
      <c r="AE41" s="495">
        <f t="shared" ref="AE41" si="299">V41*(1-AA41)</f>
        <v>15</v>
      </c>
      <c r="AF41" s="495">
        <f t="shared" ref="AF41" si="300">W41*(1-AB41)</f>
        <v>15</v>
      </c>
      <c r="AG41" s="879">
        <f t="shared" ref="AG41" si="301">SUM(AC41:AF41)</f>
        <v>60</v>
      </c>
      <c r="AH41" s="886">
        <f>INDEX('Hulpblad inkooptarieven'!$D:$D,MATCH('Rekenblad Verkeer'!$AH$3,'Hulpblad inkooptarieven'!$A:$A,0))*K41</f>
        <v>2.302</v>
      </c>
      <c r="AI41" s="495">
        <f>INDEX('Hulpblad inkooptarieven'!D:D,MATCH('Rekenblad Verkeer'!$AI$3,'Hulpblad inkooptarieven'!$A:$A,0))*M41</f>
        <v>2.4020000000000001</v>
      </c>
      <c r="AJ41" s="495">
        <f>INDEX('Hulpblad inkooptarieven'!D:D,MATCH('Rekenblad Verkeer'!$AJ$3,'Hulpblad inkooptarieven'!$A:$A,0))*(O41+R41)</f>
        <v>5.3746650000000002</v>
      </c>
      <c r="AK41" s="495">
        <f>INDEX('Hulpblad inkooptarieven'!D:D,MATCH('Rekenblad Verkeer'!$AK$3,'Hulpblad inkooptarieven'!$A:$A,0))*Q41</f>
        <v>12.5</v>
      </c>
      <c r="AL41" s="879">
        <f t="shared" ref="AL41" si="302">SUM(AH41:AK41)</f>
        <v>22.578665000000001</v>
      </c>
      <c r="AM41" s="883">
        <f>AG41*Parameters!$B$3</f>
        <v>6</v>
      </c>
      <c r="AN41" s="888">
        <f>IF(LEFT(I41,2)="TZ",(('Vergoedingen grondslag'!$F$20+'Vergoedingen grondslag'!$I$20+'Vergoedingen grondslag'!$L$20+'Vergoedingen grondslag'!$O$20)*AG41)+('Vergoedingen grondslag'!$O$20*0+'Vergoedingen grondslag'!$R$20*0+'Vergoedingen grondslag'!$U$20*0)/Parameters!$B$9,('Vergoedingen grondslag'!$F$11+'Vergoedingen grondslag'!$I$11+'Vergoedingen grondslag'!$L$11+'Vergoedingen grondslag'!$O$11)*AG41)+('Vergoedingen grondslag'!$O$11*0+'Vergoedingen grondslag'!$R$11*0+'Vergoedingen grondslag'!$U$11+'Vergoedingen grondslag'!$X$11)/Parameters!$B$9</f>
        <v>2.4555555555555553</v>
      </c>
      <c r="AP41" s="874">
        <f t="shared" ref="AP41" si="303">SUM(AM41:AO41)</f>
        <v>8.4555555555555557</v>
      </c>
      <c r="AQ41" s="887">
        <f t="shared" ref="AQ41" si="304">AL41+AP41</f>
        <v>31.034220555555557</v>
      </c>
      <c r="AR41" s="886">
        <f t="shared" ref="AR41" si="305">AG41-AQ41</f>
        <v>28.965779444444443</v>
      </c>
      <c r="AS41" s="876">
        <f t="shared" ref="AS41" si="306">IFERROR(AR41/AG41,"")</f>
        <v>0.48276299074074075</v>
      </c>
      <c r="AT41" s="494" t="b">
        <f t="shared" ref="AT41" si="307">AR41&lt;0</f>
        <v>0</v>
      </c>
      <c r="AU41" s="882" t="s">
        <v>868</v>
      </c>
      <c r="AV41" s="96">
        <v>1</v>
      </c>
    </row>
    <row r="42" spans="1:48" s="96" customFormat="1" ht="14.4">
      <c r="A42" s="869" t="str">
        <f t="shared" ref="A42" si="308">C42&amp;D42&amp;E42&amp;F42&amp;G42</f>
        <v>TZ ZBTCityphone100</v>
      </c>
      <c r="B42" s="494"/>
      <c r="C42" s="493" t="s">
        <v>717</v>
      </c>
      <c r="D42" s="178" t="s">
        <v>520</v>
      </c>
      <c r="E42" s="178"/>
      <c r="F42" s="96">
        <v>100</v>
      </c>
      <c r="G42" s="178"/>
      <c r="H42" s="178" t="str">
        <f t="shared" ref="H42" si="309">C42&amp;D42&amp;E42&amp;F42</f>
        <v>TZ ZBTCityphone100</v>
      </c>
      <c r="I42" s="494" t="str">
        <f t="shared" ref="I42" si="310">C42&amp;E42&amp;G42</f>
        <v>TZ ZBT</v>
      </c>
      <c r="J42" s="870">
        <f>INDEX(Verkeersprofielen!$B:$B,MATCH($H42,Verkeersprofielen!$A:$A,0))</f>
        <v>100</v>
      </c>
      <c r="K42" s="870">
        <f>INDEX(Verkeersprofielen!$C:$C,MATCH($H42,Verkeersprofielen!$A:$A,0))</f>
        <v>100</v>
      </c>
      <c r="L42" s="870">
        <f>INDEX(Verkeersprofielen!$D:$D,MATCH($H42,Verkeersprofielen!$A:$A,0))</f>
        <v>100</v>
      </c>
      <c r="M42" s="870">
        <f>INDEX(Verkeersprofielen!$E:$E,MATCH($H42,Verkeersprofielen!$A:$A,0))</f>
        <v>100</v>
      </c>
      <c r="N42" s="870">
        <f>INDEX(Verkeersprofielen!$F:$F,MATCH($H42,Verkeersprofielen!$A:$A,0))</f>
        <v>100</v>
      </c>
      <c r="O42" s="870">
        <f>INDEX(Verkeersprofielen!$G:$G,MATCH($H42,Verkeersprofielen!$A:$A,0))</f>
        <v>100</v>
      </c>
      <c r="P42" s="870">
        <f>INDEX(Verkeersprofielen!$H:$H,MATCH($H42,Verkeersprofielen!$A:$A,0))</f>
        <v>100</v>
      </c>
      <c r="Q42" s="870">
        <f>INDEX(Verkeersprofielen!$I:$I,MATCH($H42,Verkeersprofielen!$A:$A,0))</f>
        <v>100</v>
      </c>
      <c r="R42" s="870">
        <f>INDEX(Verkeersprofielen!$J:$J,MATCH($H42,Verkeersprofielen!$A:$A,0))</f>
        <v>0</v>
      </c>
      <c r="S42" s="871">
        <f>INDEX(Verkeersprofielen!$K:$K,MATCH($H42,Verkeersprofielen!$A:$A,0))</f>
        <v>0</v>
      </c>
      <c r="T42" s="883">
        <f>INDEX('Tarieven ZM'!$G:$G,MATCH($C42&amp;T$3,'Tarieven ZM'!$B:$B,0))*J42+K42*INDEX('Tarieven ZM'!$H:$H,MATCH($C42&amp;T$3,'Tarieven ZM'!$B:$B,0))</f>
        <v>15</v>
      </c>
      <c r="U42" s="873">
        <f>INDEX('Tarieven ZM'!$G:$G,MATCH($C42&amp;U$3,'Tarieven ZM'!$B:$B,0))*L42+M42*INDEX('Tarieven ZM'!$H:$H,MATCH($C42&amp;U$3,'Tarieven ZM'!$B:$B,0))</f>
        <v>15</v>
      </c>
      <c r="V42" s="873">
        <f>INDEX('Tarieven ZM'!$G:$G,MATCH($C42&amp;V$3,'Tarieven ZM'!$B:$B,0))*(N42+R42)+(O42+S42)*INDEX('Tarieven ZM'!$H:$H,MATCH($C42&amp;V$3,'Tarieven ZM'!$B:$B,0))</f>
        <v>15</v>
      </c>
      <c r="W42" s="873">
        <f>INDEX('Tarieven ZM'!$G:$G,MATCH($C42&amp;W$3,'Tarieven ZM'!$B:$B,0))*P42+Q42*INDEX('Tarieven ZM'!$H:$H,MATCH($C42&amp;W$3,'Tarieven ZM'!$B:$B,0))</f>
        <v>15</v>
      </c>
      <c r="X42" s="874">
        <f t="shared" ref="X42" si="311">SUM(T42:W42)</f>
        <v>60</v>
      </c>
      <c r="Y42" s="884">
        <f>IF(ISNA(INDEX(Kortingsstaffels!$F:$F,MATCH($I42,Kortingsstaffels!$B:$B,0))),0,INDEX(Kortingsstaffels!$F:$F,MATCH($I42,Kortingsstaffels!$B:$B,0)))</f>
        <v>0</v>
      </c>
      <c r="Z42" s="876">
        <f>IF(ISNA(INDEX(Kortingsstaffels!$G:$G,MATCH($I42,Kortingsstaffels!$B:$B,0))),0,INDEX(Kortingsstaffels!$G:$G,MATCH($I42,Kortingsstaffels!$B:$B,0)))</f>
        <v>0</v>
      </c>
      <c r="AA42" s="876">
        <f>IF(ISNA(INDEX(Kortingsstaffels!$H:$H,MATCH($I42,Kortingsstaffels!$B:$B,0))),0,INDEX(Kortingsstaffels!$H:$H,MATCH($I42,Kortingsstaffels!$B:$B,0)))</f>
        <v>0</v>
      </c>
      <c r="AB42" s="877">
        <f>IF(ISNA(INDEX(Kortingsstaffels!$I:$I,MATCH($I42,Kortingsstaffels!$B:$B,0))),0,INDEX(Kortingsstaffels!$I:$I,MATCH($I42,Kortingsstaffels!$B:$B,0)))</f>
        <v>0</v>
      </c>
      <c r="AC42" s="885">
        <f t="shared" ref="AC42" si="312">T42*(1-Y42)</f>
        <v>15</v>
      </c>
      <c r="AD42" s="495">
        <f t="shared" ref="AD42" si="313">U42*(1-Z42)</f>
        <v>15</v>
      </c>
      <c r="AE42" s="495">
        <f t="shared" ref="AE42" si="314">V42*(1-AA42)</f>
        <v>15</v>
      </c>
      <c r="AF42" s="495">
        <f t="shared" ref="AF42" si="315">W42*(1-AB42)</f>
        <v>15</v>
      </c>
      <c r="AG42" s="879">
        <f t="shared" ref="AG42" si="316">SUM(AC42:AF42)</f>
        <v>60</v>
      </c>
      <c r="AH42" s="886">
        <f>INDEX('Hulpblad inkooptarieven'!$D:$D,MATCH('Rekenblad Verkeer'!$AH$3,'Hulpblad inkooptarieven'!$A:$A,0))*K42</f>
        <v>2.302</v>
      </c>
      <c r="AI42" s="495">
        <f>INDEX('Hulpblad inkooptarieven'!D:D,MATCH('Rekenblad Verkeer'!$AI$3,'Hulpblad inkooptarieven'!$A:$A,0))*M42</f>
        <v>2.4020000000000001</v>
      </c>
      <c r="AJ42" s="495">
        <f>INDEX('Hulpblad inkooptarieven'!D:D,MATCH('Rekenblad Verkeer'!$AJ$3,'Hulpblad inkooptarieven'!$A:$A,0))*(O42+R42)</f>
        <v>5.3746650000000002</v>
      </c>
      <c r="AK42" s="495">
        <f>INDEX('Hulpblad inkooptarieven'!D:D,MATCH('Rekenblad Verkeer'!$AK$3,'Hulpblad inkooptarieven'!$A:$A,0))*Q42</f>
        <v>12.5</v>
      </c>
      <c r="AL42" s="879">
        <f t="shared" ref="AL42" si="317">SUM(AH42:AK42)</f>
        <v>22.578665000000001</v>
      </c>
      <c r="AM42" s="883">
        <f>AG42*Parameters!$B$3</f>
        <v>6</v>
      </c>
      <c r="AN42" s="888">
        <f>IF(LEFT(I42,2)="TZ",(('Vergoedingen grondslag'!$F$20+'Vergoedingen grondslag'!$I$20+'Vergoedingen grondslag'!$L$20+'Vergoedingen grondslag'!$O$20)*AG42)+('Vergoedingen grondslag'!$O$20*0+'Vergoedingen grondslag'!$R$20*0+'Vergoedingen grondslag'!$U$20*0)/Parameters!$B$9,('Vergoedingen grondslag'!$F$11+'Vergoedingen grondslag'!$I$11+'Vergoedingen grondslag'!$L$11+'Vergoedingen grondslag'!$O$11)*AG42)+('Vergoedingen grondslag'!$O$11*0+'Vergoedingen grondslag'!$R$11*0+'Vergoedingen grondslag'!$U$11+'Vergoedingen grondslag'!$X$11)/Parameters!$B$9</f>
        <v>2.4555555555555553</v>
      </c>
      <c r="AP42" s="874">
        <f t="shared" ref="AP42" si="318">SUM(AM42:AO42)</f>
        <v>8.4555555555555557</v>
      </c>
      <c r="AQ42" s="887">
        <f t="shared" ref="AQ42" si="319">AL42+AP42</f>
        <v>31.034220555555557</v>
      </c>
      <c r="AR42" s="886">
        <f t="shared" ref="AR42" si="320">AG42-AQ42</f>
        <v>28.965779444444443</v>
      </c>
      <c r="AS42" s="876">
        <f t="shared" ref="AS42" si="321">IFERROR(AR42/AG42,"")</f>
        <v>0.48276299074074075</v>
      </c>
      <c r="AT42" s="494" t="b">
        <f t="shared" ref="AT42" si="322">AR42&lt;0</f>
        <v>0</v>
      </c>
      <c r="AU42" s="882" t="s">
        <v>868</v>
      </c>
      <c r="AV42" s="96">
        <v>1</v>
      </c>
    </row>
  </sheetData>
  <autoFilter ref="A3:AW42"/>
  <mergeCells count="11">
    <mergeCell ref="C2:H2"/>
    <mergeCell ref="J2:S2"/>
    <mergeCell ref="Y2:AB2"/>
    <mergeCell ref="T1:AG1"/>
    <mergeCell ref="T2:X2"/>
    <mergeCell ref="AC2:AG2"/>
    <mergeCell ref="AH2:AL2"/>
    <mergeCell ref="AM2:AP2"/>
    <mergeCell ref="AH1:AL1"/>
    <mergeCell ref="AR1:AT1"/>
    <mergeCell ref="AM1:AP1"/>
  </mergeCells>
  <conditionalFormatting sqref="AU28:AU42 AU8:AU25">
    <cfRule type="containsText" dxfId="19" priority="23" operator="containsText" text="nee">
      <formula>NOT(ISERROR(SEARCH("nee",AU8)))</formula>
    </cfRule>
    <cfRule type="containsText" dxfId="18" priority="24" operator="containsText" text="ja">
      <formula>NOT(ISERROR(SEARCH("ja",AU8)))</formula>
    </cfRule>
  </conditionalFormatting>
  <conditionalFormatting sqref="AU26:AU27">
    <cfRule type="containsText" dxfId="17" priority="5" operator="containsText" text="nee">
      <formula>NOT(ISERROR(SEARCH("nee",AU26)))</formula>
    </cfRule>
    <cfRule type="containsText" dxfId="16" priority="6" operator="containsText" text="ja">
      <formula>NOT(ISERROR(SEARCH("ja",AU26)))</formula>
    </cfRule>
  </conditionalFormatting>
  <conditionalFormatting sqref="AU4:AU7">
    <cfRule type="containsText" dxfId="15" priority="1" operator="containsText" text="nee">
      <formula>NOT(ISERROR(SEARCH("nee",AU4)))</formula>
    </cfRule>
    <cfRule type="containsText" dxfId="14" priority="2" operator="containsText" text="ja">
      <formula>NOT(ISERROR(SEARCH("ja",AU4)))</formula>
    </cfRule>
  </conditionalFormatting>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1:FW22"/>
  <sheetViews>
    <sheetView workbookViewId="0">
      <selection activeCell="E9" sqref="E9"/>
    </sheetView>
  </sheetViews>
  <sheetFormatPr defaultColWidth="9.109375" defaultRowHeight="12" outlineLevelCol="1"/>
  <cols>
    <col min="1" max="1" width="6.109375" style="4" customWidth="1"/>
    <col min="2" max="3" width="9.109375" style="4"/>
    <col min="4" max="4" width="15.44140625" style="4" bestFit="1" customWidth="1"/>
    <col min="5" max="5" width="15.44140625" style="4" customWidth="1"/>
    <col min="6" max="6" width="14.109375" style="4" bestFit="1" customWidth="1"/>
    <col min="7" max="7" width="9.109375" style="4"/>
    <col min="8" max="8" width="16.109375" style="4" bestFit="1" customWidth="1"/>
    <col min="9" max="9" width="37.6640625" style="4" bestFit="1" customWidth="1"/>
    <col min="10" max="10" width="12" style="4" bestFit="1" customWidth="1"/>
    <col min="11" max="23" width="9.109375" style="4"/>
    <col min="24" max="24" width="10.5546875" style="4" customWidth="1"/>
    <col min="25" max="39" width="9.109375" style="4"/>
    <col min="40" max="40" width="7" style="4" customWidth="1"/>
    <col min="41" max="47" width="9.109375" style="4"/>
    <col min="48" max="48" width="12.109375" style="4" bestFit="1" customWidth="1"/>
    <col min="49" max="55" width="12.109375" style="4" customWidth="1" outlineLevel="1"/>
    <col min="56" max="56" width="20.5546875" style="4" customWidth="1"/>
    <col min="57" max="57" width="11.44140625" style="4" customWidth="1"/>
    <col min="58" max="58" width="7.6640625" style="4" customWidth="1"/>
    <col min="59" max="59" width="9.88671875" style="4" customWidth="1"/>
    <col min="60" max="60" width="11.109375" style="4" customWidth="1"/>
    <col min="61" max="61" width="10" style="4" customWidth="1"/>
    <col min="62" max="62" width="9.33203125" style="4" customWidth="1"/>
    <col min="63" max="63" width="9.88671875" style="4" customWidth="1"/>
    <col min="64" max="64" width="11.44140625" style="4" customWidth="1"/>
    <col min="65" max="114" width="9.109375" style="4" customWidth="1" outlineLevel="1"/>
    <col min="115" max="117" width="9.109375" style="4"/>
    <col min="118" max="167" width="11.44140625" style="4" customWidth="1" outlineLevel="1"/>
    <col min="168" max="173" width="9.109375" style="4"/>
    <col min="174" max="174" width="11.6640625" style="4" customWidth="1"/>
    <col min="175" max="175" width="12.109375" style="4" customWidth="1"/>
    <col min="176" max="16384" width="9.109375" style="4"/>
  </cols>
  <sheetData>
    <row r="1" spans="2:179" ht="14.4">
      <c r="FO1" s="232" t="s">
        <v>936</v>
      </c>
      <c r="FP1" s="233"/>
      <c r="FQ1" s="233"/>
      <c r="FR1" s="234"/>
    </row>
    <row r="2" spans="2:179" ht="36.6">
      <c r="D2" s="4" t="s">
        <v>438</v>
      </c>
      <c r="I2" s="154" t="s">
        <v>438</v>
      </c>
      <c r="J2" s="219"/>
      <c r="K2" s="118" t="s">
        <v>618</v>
      </c>
      <c r="AW2" s="244" t="s">
        <v>667</v>
      </c>
      <c r="AX2" s="245"/>
      <c r="AY2" s="245"/>
      <c r="AZ2" s="245"/>
      <c r="BA2" s="245"/>
      <c r="BB2" s="245"/>
      <c r="BC2" s="245"/>
      <c r="BD2" s="245"/>
      <c r="BE2" s="244" t="s">
        <v>649</v>
      </c>
      <c r="BF2" s="245"/>
      <c r="BG2" s="245"/>
      <c r="BH2" s="245"/>
      <c r="BI2" s="245"/>
      <c r="BJ2" s="245"/>
      <c r="BK2" s="245"/>
      <c r="BL2" s="245"/>
      <c r="BM2" s="4" t="s">
        <v>651</v>
      </c>
      <c r="CL2" s="4" t="s">
        <v>652</v>
      </c>
      <c r="DK2" s="118" t="s">
        <v>663</v>
      </c>
      <c r="DN2" s="118" t="s">
        <v>656</v>
      </c>
      <c r="EM2" s="118" t="s">
        <v>659</v>
      </c>
      <c r="FL2" s="118" t="s">
        <v>664</v>
      </c>
      <c r="FO2" s="1065" t="s">
        <v>665</v>
      </c>
      <c r="FP2" s="1072"/>
      <c r="FQ2" s="1072"/>
      <c r="FR2" s="1081"/>
      <c r="FS2" s="236" t="s">
        <v>666</v>
      </c>
      <c r="FT2" s="1062" t="s">
        <v>481</v>
      </c>
      <c r="FU2" s="1063"/>
      <c r="FV2" s="1064"/>
    </row>
    <row r="3" spans="2:179" ht="60">
      <c r="B3" s="150" t="s">
        <v>435</v>
      </c>
      <c r="C3" s="115" t="s">
        <v>436</v>
      </c>
      <c r="D3" s="199" t="s">
        <v>647</v>
      </c>
      <c r="E3" s="200" t="s">
        <v>7</v>
      </c>
      <c r="F3" s="200" t="s">
        <v>467</v>
      </c>
      <c r="G3" s="200" t="s">
        <v>8</v>
      </c>
      <c r="H3" s="200" t="s">
        <v>5</v>
      </c>
      <c r="I3" s="200" t="s">
        <v>646</v>
      </c>
      <c r="J3" s="201" t="s">
        <v>3</v>
      </c>
      <c r="K3" s="200" t="s">
        <v>463</v>
      </c>
      <c r="L3" s="200" t="s">
        <v>624</v>
      </c>
      <c r="M3" s="200" t="s">
        <v>464</v>
      </c>
      <c r="N3" s="200" t="s">
        <v>465</v>
      </c>
      <c r="O3" s="200" t="s">
        <v>623</v>
      </c>
      <c r="P3" s="200" t="s">
        <v>466</v>
      </c>
      <c r="Q3" s="200" t="s">
        <v>468</v>
      </c>
      <c r="R3" s="200" t="s">
        <v>469</v>
      </c>
      <c r="S3" s="200" t="s">
        <v>470</v>
      </c>
      <c r="T3" s="1109" t="s">
        <v>620</v>
      </c>
      <c r="U3" s="1109" t="s">
        <v>619</v>
      </c>
      <c r="V3" s="1109" t="s">
        <v>600</v>
      </c>
      <c r="W3" s="1109" t="s">
        <v>621</v>
      </c>
      <c r="X3" s="115" t="s">
        <v>541</v>
      </c>
      <c r="Y3" s="115" t="s">
        <v>542</v>
      </c>
      <c r="Z3" s="115" t="s">
        <v>543</v>
      </c>
      <c r="AA3" s="115" t="s">
        <v>544</v>
      </c>
      <c r="AB3" s="115" t="s">
        <v>545</v>
      </c>
      <c r="AC3" s="115" t="s">
        <v>546</v>
      </c>
      <c r="AD3" s="115" t="s">
        <v>640</v>
      </c>
      <c r="AE3" s="115" t="s">
        <v>625</v>
      </c>
      <c r="AF3" s="115" t="s">
        <v>626</v>
      </c>
      <c r="AG3" s="115" t="s">
        <v>627</v>
      </c>
      <c r="AH3" s="115" t="s">
        <v>535</v>
      </c>
      <c r="AI3" s="115" t="s">
        <v>628</v>
      </c>
      <c r="AJ3" s="115" t="s">
        <v>629</v>
      </c>
      <c r="AK3" s="115" t="s">
        <v>538</v>
      </c>
      <c r="AL3" s="1109" t="s">
        <v>1219</v>
      </c>
      <c r="AM3" s="1109" t="s">
        <v>1220</v>
      </c>
      <c r="AN3" s="1109" t="s">
        <v>630</v>
      </c>
      <c r="AO3" s="115" t="s">
        <v>540</v>
      </c>
      <c r="AP3" s="115" t="s">
        <v>631</v>
      </c>
      <c r="AQ3" s="115" t="s">
        <v>548</v>
      </c>
      <c r="AR3" s="115" t="s">
        <v>549</v>
      </c>
      <c r="AS3" s="115" t="s">
        <v>632</v>
      </c>
      <c r="AT3" s="115" t="s">
        <v>633</v>
      </c>
      <c r="AU3" s="115" t="s">
        <v>634</v>
      </c>
      <c r="AV3" s="116" t="s">
        <v>635</v>
      </c>
      <c r="AW3" s="211" t="s">
        <v>463</v>
      </c>
      <c r="AX3" s="115" t="s">
        <v>464</v>
      </c>
      <c r="AY3" s="115" t="s">
        <v>465</v>
      </c>
      <c r="AZ3" s="115" t="s">
        <v>466</v>
      </c>
      <c r="BA3" s="115" t="s">
        <v>468</v>
      </c>
      <c r="BB3" s="115" t="s">
        <v>869</v>
      </c>
      <c r="BC3" s="115" t="s">
        <v>470</v>
      </c>
      <c r="BD3" s="115" t="s">
        <v>668</v>
      </c>
      <c r="BE3" s="211" t="s">
        <v>463</v>
      </c>
      <c r="BF3" s="115" t="s">
        <v>464</v>
      </c>
      <c r="BG3" s="115" t="s">
        <v>465</v>
      </c>
      <c r="BH3" s="115" t="s">
        <v>466</v>
      </c>
      <c r="BI3" s="115" t="s">
        <v>468</v>
      </c>
      <c r="BJ3" s="115" t="s">
        <v>869</v>
      </c>
      <c r="BK3" s="115" t="s">
        <v>470</v>
      </c>
      <c r="BL3" s="221" t="s">
        <v>650</v>
      </c>
      <c r="BM3" s="115" t="s">
        <v>541</v>
      </c>
      <c r="BN3" s="115" t="s">
        <v>542</v>
      </c>
      <c r="BO3" s="115" t="s">
        <v>543</v>
      </c>
      <c r="BP3" s="115" t="s">
        <v>544</v>
      </c>
      <c r="BQ3" s="115" t="s">
        <v>545</v>
      </c>
      <c r="BR3" s="115" t="s">
        <v>546</v>
      </c>
      <c r="BS3" s="115" t="s">
        <v>640</v>
      </c>
      <c r="BT3" s="115" t="s">
        <v>625</v>
      </c>
      <c r="BU3" s="115" t="s">
        <v>626</v>
      </c>
      <c r="BV3" s="115" t="s">
        <v>627</v>
      </c>
      <c r="BW3" s="115" t="s">
        <v>535</v>
      </c>
      <c r="BX3" s="115" t="s">
        <v>628</v>
      </c>
      <c r="BY3" s="115" t="s">
        <v>629</v>
      </c>
      <c r="BZ3" s="115" t="s">
        <v>538</v>
      </c>
      <c r="CA3" s="1111" t="s">
        <v>1219</v>
      </c>
      <c r="CB3" s="1111" t="s">
        <v>1220</v>
      </c>
      <c r="CC3" s="1111" t="s">
        <v>539</v>
      </c>
      <c r="CD3" s="1109" t="s">
        <v>540</v>
      </c>
      <c r="CE3" s="115" t="s">
        <v>631</v>
      </c>
      <c r="CF3" s="115" t="s">
        <v>548</v>
      </c>
      <c r="CG3" s="115" t="s">
        <v>549</v>
      </c>
      <c r="CH3" s="115" t="s">
        <v>632</v>
      </c>
      <c r="CI3" s="115" t="s">
        <v>633</v>
      </c>
      <c r="CJ3" s="115" t="s">
        <v>634</v>
      </c>
      <c r="CK3" s="116" t="s">
        <v>635</v>
      </c>
      <c r="CL3" s="115" t="s">
        <v>541</v>
      </c>
      <c r="CM3" s="115" t="s">
        <v>542</v>
      </c>
      <c r="CN3" s="115" t="s">
        <v>543</v>
      </c>
      <c r="CO3" s="115" t="s">
        <v>544</v>
      </c>
      <c r="CP3" s="115" t="s">
        <v>545</v>
      </c>
      <c r="CQ3" s="115" t="s">
        <v>546</v>
      </c>
      <c r="CR3" s="115" t="s">
        <v>682</v>
      </c>
      <c r="CS3" s="115" t="s">
        <v>532</v>
      </c>
      <c r="CT3" s="115" t="s">
        <v>533</v>
      </c>
      <c r="CU3" s="115" t="s">
        <v>534</v>
      </c>
      <c r="CV3" s="115" t="s">
        <v>535</v>
      </c>
      <c r="CW3" s="115" t="s">
        <v>536</v>
      </c>
      <c r="CX3" s="115" t="s">
        <v>537</v>
      </c>
      <c r="CY3" s="115" t="s">
        <v>538</v>
      </c>
      <c r="CZ3" s="1111" t="s">
        <v>1219</v>
      </c>
      <c r="DA3" s="1111" t="s">
        <v>1220</v>
      </c>
      <c r="DB3" s="1111" t="s">
        <v>539</v>
      </c>
      <c r="DC3" s="115" t="s">
        <v>540</v>
      </c>
      <c r="DD3" s="115" t="s">
        <v>547</v>
      </c>
      <c r="DE3" s="115" t="s">
        <v>548</v>
      </c>
      <c r="DF3" s="115" t="s">
        <v>549</v>
      </c>
      <c r="DG3" s="115" t="s">
        <v>550</v>
      </c>
      <c r="DH3" s="115" t="s">
        <v>339</v>
      </c>
      <c r="DI3" s="115" t="s">
        <v>551</v>
      </c>
      <c r="DJ3" s="116" t="s">
        <v>552</v>
      </c>
      <c r="DK3" s="225" t="s">
        <v>653</v>
      </c>
      <c r="DL3" s="226" t="s">
        <v>654</v>
      </c>
      <c r="DM3" s="227" t="s">
        <v>655</v>
      </c>
      <c r="DN3" s="211" t="s">
        <v>541</v>
      </c>
      <c r="DO3" s="115" t="s">
        <v>542</v>
      </c>
      <c r="DP3" s="115" t="s">
        <v>543</v>
      </c>
      <c r="DQ3" s="115" t="s">
        <v>544</v>
      </c>
      <c r="DR3" s="115" t="s">
        <v>545</v>
      </c>
      <c r="DS3" s="115" t="s">
        <v>546</v>
      </c>
      <c r="DT3" s="115" t="s">
        <v>683</v>
      </c>
      <c r="DU3" s="115" t="s">
        <v>532</v>
      </c>
      <c r="DV3" s="115" t="s">
        <v>533</v>
      </c>
      <c r="DW3" s="115" t="s">
        <v>534</v>
      </c>
      <c r="DX3" s="115" t="s">
        <v>535</v>
      </c>
      <c r="DY3" s="115" t="s">
        <v>536</v>
      </c>
      <c r="DZ3" s="115" t="s">
        <v>537</v>
      </c>
      <c r="EA3" s="115" t="s">
        <v>538</v>
      </c>
      <c r="EB3" s="1111" t="s">
        <v>1219</v>
      </c>
      <c r="EC3" s="1111" t="s">
        <v>1220</v>
      </c>
      <c r="ED3" s="115" t="s">
        <v>539</v>
      </c>
      <c r="EE3" s="115" t="s">
        <v>540</v>
      </c>
      <c r="EF3" s="115" t="s">
        <v>547</v>
      </c>
      <c r="EG3" s="115" t="s">
        <v>548</v>
      </c>
      <c r="EH3" s="115" t="s">
        <v>549</v>
      </c>
      <c r="EI3" s="115" t="s">
        <v>550</v>
      </c>
      <c r="EJ3" s="115" t="s">
        <v>339</v>
      </c>
      <c r="EK3" s="115" t="s">
        <v>551</v>
      </c>
      <c r="EL3" s="116" t="s">
        <v>552</v>
      </c>
      <c r="EM3" s="211" t="s">
        <v>541</v>
      </c>
      <c r="EN3" s="115" t="s">
        <v>542</v>
      </c>
      <c r="EO3" s="115" t="s">
        <v>543</v>
      </c>
      <c r="EP3" s="115" t="s">
        <v>544</v>
      </c>
      <c r="EQ3" s="115" t="s">
        <v>545</v>
      </c>
      <c r="ER3" s="115" t="s">
        <v>546</v>
      </c>
      <c r="ES3" s="115" t="s">
        <v>682</v>
      </c>
      <c r="ET3" s="115" t="s">
        <v>532</v>
      </c>
      <c r="EU3" s="115" t="s">
        <v>533</v>
      </c>
      <c r="EV3" s="115" t="s">
        <v>534</v>
      </c>
      <c r="EW3" s="115" t="s">
        <v>535</v>
      </c>
      <c r="EX3" s="115" t="s">
        <v>536</v>
      </c>
      <c r="EY3" s="115" t="s">
        <v>537</v>
      </c>
      <c r="EZ3" s="115" t="s">
        <v>538</v>
      </c>
      <c r="FA3" s="1109" t="s">
        <v>1219</v>
      </c>
      <c r="FB3" s="1109" t="s">
        <v>1220</v>
      </c>
      <c r="FC3" s="115" t="s">
        <v>539</v>
      </c>
      <c r="FD3" s="115" t="s">
        <v>540</v>
      </c>
      <c r="FE3" s="115" t="s">
        <v>547</v>
      </c>
      <c r="FF3" s="115" t="s">
        <v>548</v>
      </c>
      <c r="FG3" s="115" t="s">
        <v>549</v>
      </c>
      <c r="FH3" s="115" t="s">
        <v>550</v>
      </c>
      <c r="FI3" s="115" t="s">
        <v>339</v>
      </c>
      <c r="FJ3" s="115" t="s">
        <v>551</v>
      </c>
      <c r="FK3" s="116" t="s">
        <v>552</v>
      </c>
      <c r="FL3" s="228" t="s">
        <v>660</v>
      </c>
      <c r="FM3" s="229" t="s">
        <v>661</v>
      </c>
      <c r="FN3" s="230" t="s">
        <v>662</v>
      </c>
      <c r="FO3" s="162" t="s">
        <v>1136</v>
      </c>
      <c r="FP3" s="163" t="s">
        <v>512</v>
      </c>
      <c r="FQ3" s="163" t="s">
        <v>513</v>
      </c>
      <c r="FR3" s="174" t="s">
        <v>514</v>
      </c>
      <c r="FS3" s="235" t="s">
        <v>515</v>
      </c>
      <c r="FT3" s="124" t="s">
        <v>482</v>
      </c>
      <c r="FU3" s="125" t="s">
        <v>483</v>
      </c>
      <c r="FV3" s="126" t="s">
        <v>484</v>
      </c>
      <c r="FW3" s="330" t="s">
        <v>867</v>
      </c>
    </row>
    <row r="4" spans="2:179" s="252" customFormat="1" ht="52.2" customHeight="1">
      <c r="B4" s="211"/>
      <c r="C4" s="115"/>
      <c r="D4" s="211"/>
      <c r="E4" s="115"/>
      <c r="F4" s="115"/>
      <c r="G4" s="115"/>
      <c r="H4" s="115"/>
      <c r="I4" s="115"/>
      <c r="J4" s="116"/>
      <c r="K4" s="248"/>
      <c r="L4" s="248"/>
      <c r="M4" s="248"/>
      <c r="N4" s="248"/>
      <c r="O4" s="248"/>
      <c r="P4" s="248"/>
      <c r="Q4" s="248"/>
      <c r="R4" s="248"/>
      <c r="S4" s="248"/>
      <c r="T4" s="248"/>
      <c r="U4" s="248"/>
      <c r="V4" s="248"/>
      <c r="W4" s="248"/>
      <c r="X4" s="248"/>
      <c r="Y4" s="248"/>
      <c r="Z4" s="248"/>
      <c r="AA4" s="248"/>
      <c r="AB4" s="248"/>
      <c r="AC4" s="248"/>
      <c r="AD4" s="248"/>
      <c r="AE4" s="248"/>
      <c r="AF4" s="248"/>
      <c r="AG4" s="248"/>
      <c r="AH4" s="248"/>
      <c r="AI4" s="248"/>
      <c r="AJ4" s="248"/>
      <c r="AK4" s="248"/>
      <c r="AL4" s="248"/>
      <c r="AM4" s="248"/>
      <c r="AN4" s="248"/>
      <c r="AO4" s="248"/>
      <c r="AP4" s="248"/>
      <c r="AQ4" s="248"/>
      <c r="AR4" s="248"/>
      <c r="AS4" s="248"/>
      <c r="AT4" s="248"/>
      <c r="AU4" s="248"/>
      <c r="AV4" s="249"/>
      <c r="AW4" s="248"/>
      <c r="AX4" s="248"/>
      <c r="AY4" s="248"/>
      <c r="AZ4" s="248"/>
      <c r="BA4" s="248"/>
      <c r="BB4" s="248"/>
      <c r="BC4" s="248"/>
      <c r="BD4" s="248"/>
      <c r="BE4" s="247"/>
      <c r="BF4" s="248"/>
      <c r="BG4" s="248"/>
      <c r="BH4" s="248"/>
      <c r="BI4" s="248"/>
      <c r="BJ4" s="248"/>
      <c r="BK4" s="248"/>
      <c r="BL4" s="274"/>
      <c r="BM4" s="248"/>
      <c r="BN4" s="248"/>
      <c r="BO4" s="248"/>
      <c r="BP4" s="248"/>
      <c r="BQ4" s="248"/>
      <c r="BR4" s="248"/>
      <c r="BS4" s="248"/>
      <c r="BT4" s="248"/>
      <c r="BU4" s="248"/>
      <c r="BV4" s="248"/>
      <c r="BW4" s="248"/>
      <c r="BX4" s="248"/>
      <c r="BY4" s="248"/>
      <c r="BZ4" s="248"/>
      <c r="CA4" s="248"/>
      <c r="CB4" s="248"/>
      <c r="CC4" s="248"/>
      <c r="CD4" s="248"/>
      <c r="CE4" s="248"/>
      <c r="CF4" s="248"/>
      <c r="CG4" s="248"/>
      <c r="CH4" s="248"/>
      <c r="CI4" s="248"/>
      <c r="CJ4" s="248"/>
      <c r="CK4" s="249"/>
      <c r="CL4" s="248"/>
      <c r="CM4" s="248"/>
      <c r="CN4" s="248"/>
      <c r="CO4" s="248"/>
      <c r="CP4" s="248"/>
      <c r="CQ4" s="248"/>
      <c r="CR4" s="248"/>
      <c r="CS4" s="248"/>
      <c r="CT4" s="248"/>
      <c r="CU4" s="248"/>
      <c r="CV4" s="248"/>
      <c r="CW4" s="248"/>
      <c r="CX4" s="248"/>
      <c r="CY4" s="248"/>
      <c r="CZ4" s="248"/>
      <c r="DA4" s="248"/>
      <c r="DB4" s="248"/>
      <c r="DC4" s="248"/>
      <c r="DD4" s="248"/>
      <c r="DE4" s="248"/>
      <c r="DF4" s="248"/>
      <c r="DG4" s="248"/>
      <c r="DH4" s="248"/>
      <c r="DI4" s="248"/>
      <c r="DJ4" s="249"/>
      <c r="DK4" s="275"/>
      <c r="DL4" s="276"/>
      <c r="DM4" s="274"/>
      <c r="DN4" s="253" t="str">
        <f>INDEX(Mapping!$E:$E,MATCH(DN$3,Mapping!$B:$B,0))</f>
        <v>Nummerblokken alleen i.c.m. doorkiesfaciliteitVVA10 (in gebruik)1e blok</v>
      </c>
      <c r="DO4" s="250" t="str">
        <f>INDEX(Mapping!$E:$E,MATCH(DO$3,Mapping!$B:$B,0))</f>
        <v>Nummerblokken alleen i.c.m. doorkiesfaciliteitVVA10 (in gebruik)2e en volgende blok</v>
      </c>
      <c r="DP4" s="250" t="str">
        <f>INDEX(Mapping!$E:$E,MATCH(DP$3,Mapping!$B:$B,0))</f>
        <v>Nummerblokken alleen i.c.m. doorkiesfaciliteitVVA100 (in gebruik)1e blok</v>
      </c>
      <c r="DQ4" s="250" t="str">
        <f>INDEX(Mapping!$E:$E,MATCH(DQ$3,Mapping!$B:$B,0))</f>
        <v>Nummerblokken alleen i.c.m. doorkiesfaciliteitVVA100 (in gebruik)2e en volgende blok</v>
      </c>
      <c r="DR4" s="250" t="str">
        <f>INDEX(Mapping!$E:$E,MATCH(DR$3,Mapping!$B:$B,0))</f>
        <v>Nummerblokken alleen i.c.m. doorkiesfaciliteitVVA1000 (in gebruik)1e blok</v>
      </c>
      <c r="DS4" s="250" t="str">
        <f>INDEX(Mapping!$E:$E,MATCH(DS$3,Mapping!$B:$B,0))</f>
        <v>Nummerblokken alleen i.c.m. doorkiesfaciliteitVVA1000 (in gebruik)2e en volgende blok</v>
      </c>
      <c r="DT4" s="250" t="str">
        <f>INDEX(Mapping!$E:$E,MATCH(DT$3,Mapping!$B:$B,0))</f>
        <v>Nummerblokken alleen i.c.m. doorkiesfaciliteitVVA10000 (in gebruik)2e en volgende blok</v>
      </c>
      <c r="DU4" s="250" t="str">
        <f>INDEX(Mapping!$E:$E,MATCH(DU$3,Mapping!$B:$B,0))</f>
        <v>Direct aankiesbare onderlijnVVAPer netlijn</v>
      </c>
      <c r="DV4" s="250" t="str">
        <f>INDEX(Mapping!$E:$E,MATCH(DV$3,Mapping!$B:$B,0))</f>
        <v>CalamiteitenServiceVVA&lt;= 30 Kanalen</v>
      </c>
      <c r="DW4" s="250" t="str">
        <f>INDEX(Mapping!$E:$E,MATCH(DW$3,Mapping!$B:$B,0))</f>
        <v>CalamiteitenvoorzieningVVA&lt;= 60 Kanalenper aansluiting</v>
      </c>
      <c r="DX4" s="250" t="str">
        <f>INDEX(Mapping!$E:$E,MATCH(DX$3,Mapping!$B:$B,0))</f>
        <v>DoorkiesfaciliteitVVAPer lijngroep</v>
      </c>
      <c r="DY4" s="250" t="str">
        <f>INDEX(Mapping!$E:$E,MATCH(DY$3,Mapping!$B:$B,0))</f>
        <v>DoorschakeldienstVVAenkelvoudig en meervoudig =&lt; 6 kanalen</v>
      </c>
      <c r="DZ4" s="250" t="str">
        <f>INDEX(Mapping!$E:$E,MATCH(DZ$3,Mapping!$B:$B,0))</f>
        <v>DoorschakeldienstVVAmeervoudig &gt; 6 kanalen</v>
      </c>
      <c r="EA4" s="250" t="str">
        <f>INDEX(Mapping!$E:$E,MATCH(EA$3,Mapping!$B:$B,0))</f>
        <v>Aanvraag extra groeps/enkelvoudige nummeraanleg/VVA2e t/m 15 extra (mrop)nummersper nummer</v>
      </c>
      <c r="EB4" s="250" t="str">
        <f>INDEX(Mapping!$E:$E,MATCH(EB$3,Mapping!$B:$B,0))</f>
        <v>GroepsnummerVVAPer lijngroep</v>
      </c>
      <c r="EC4" s="250" t="str">
        <f>INDEX(Mapping!$E:$E,MATCH(EC$3,Mapping!$B:$B,0))</f>
        <v>GroepsnummerVVAPer lijngroep</v>
      </c>
      <c r="ED4" s="250" t="str">
        <f>INDEX(Mapping!$E:$E,MATCH(ED$3,Mapping!$B:$B,0))</f>
        <v>Kostenindicatie bij beëindigen communicatieVVA</v>
      </c>
      <c r="EE4" s="250" t="str">
        <f>INDEX(Mapping!$E:$E,MATCH(EE$3,Mapping!$B:$B,0))</f>
        <v>Extra ISDN nummer (eerste 4 standaard in ISDN 2)VVA</v>
      </c>
      <c r="EF4" s="250" t="str">
        <f>INDEX(Mapping!$E:$E,MATCH(EF$3,Mapping!$B:$B,0))</f>
        <v>Nummerweergave (alleen een tarief bij PSTN)VVA</v>
      </c>
      <c r="EG4" s="250" t="str">
        <f>INDEX(Mapping!$E:$E,MATCH(EG$3,Mapping!$B:$B,0))</f>
        <v>ServicecontractVVA</v>
      </c>
      <c r="EH4" s="250" t="str">
        <f>INDEX(Mapping!$E:$E,MATCH(EH$3,Mapping!$B:$B,0))</f>
        <v>ServicecontractVVA</v>
      </c>
      <c r="EI4" s="250" t="str">
        <f>INDEX(Mapping!$E:$E,MATCH(EI$3,Mapping!$B:$B,0))</f>
        <v>Subadressering; per nummerVVA</v>
      </c>
      <c r="EJ4" s="250" t="str">
        <f>INDEX(Mapping!$E:$E,MATCH(EJ$3,Mapping!$B:$B,0))</f>
        <v>VerwijsdienstVVAenkelvoudig en meervoudig =&lt; 6 kanalen</v>
      </c>
      <c r="EK4" s="250" t="str">
        <f>INDEX(Mapping!$E:$E,MATCH(EK$3,Mapping!$B:$B,0))</f>
        <v>VerwijsdienstVVAenkelvoudig en meervoudig =&lt; 6 kanalen</v>
      </c>
      <c r="EL4" s="251" t="str">
        <f>INDEX(Mapping!$E:$E,MATCH(EL$3,Mapping!$B:$B,0))</f>
        <v>Wisselgesprek (alleen een tarief bij PSTN)VVA</v>
      </c>
      <c r="EM4" s="253" t="str">
        <f>INDEX(Mapping!$F:$F,MATCH(EM$3,Mapping!$B:$B,0))</f>
        <v>Nummerblokken alleen i.c.m. doorkiesfaciliteitaanleg10 (in gebruik)1e blok</v>
      </c>
      <c r="EN4" s="250" t="str">
        <f>INDEX(Mapping!$F:$F,MATCH(EN$3,Mapping!$B:$B,0))</f>
        <v>Nummerblokken alleen i.c.m. doorkiesfaciliteitaanleg10 (in gebruik)2e en volgende blok</v>
      </c>
      <c r="EO4" s="250" t="str">
        <f>INDEX(Mapping!$F:$F,MATCH(EO$3,Mapping!$B:$B,0))</f>
        <v>Nummerblokken alleen i.c.m. doorkiesfaciliteitaanleg100 (in gebruik)1e blok</v>
      </c>
      <c r="EP4" s="250" t="str">
        <f>INDEX(Mapping!$F:$F,MATCH(EP$3,Mapping!$B:$B,0))</f>
        <v>Nummerblokken alleen i.c.m. doorkiesfaciliteitaanleg100 (in gebruik)2e en volgende blok</v>
      </c>
      <c r="EQ4" s="250" t="str">
        <f>INDEX(Mapping!$F:$F,MATCH(EQ$3,Mapping!$B:$B,0))</f>
        <v>Nummerblokken alleen i.c.m. doorkiesfaciliteitaanleg1000 (in gebruik)1e blok</v>
      </c>
      <c r="ER4" s="250" t="str">
        <f>INDEX(Mapping!$F:$F,MATCH(ER$3,Mapping!$B:$B,0))</f>
        <v>Nummerblokken alleen i.c.m. doorkiesfaciliteitaanleg1000 (in gebruik)2e en volgende blok</v>
      </c>
      <c r="ES4" s="250" t="str">
        <f>INDEX(Mapping!$F:$F,MATCH(ES$3,Mapping!$B:$B,0))</f>
        <v>Nummerblokken alleen i.c.m. doorkiesfaciliteitaanleg10000 (in gebruik)1e blok</v>
      </c>
      <c r="ET4" s="250" t="str">
        <f>INDEX(Mapping!$F:$F,MATCH(ET$3,Mapping!$B:$B,0))</f>
        <v>Direct aankiesbare onderlijnAanlegPer netlijn</v>
      </c>
      <c r="EU4" s="250" t="str">
        <f>INDEX(Mapping!$F:$F,MATCH(EU$3,Mapping!$B:$B,0))</f>
        <v>CalamiteitenServiceaanvraag&lt;= 30 Kanalen</v>
      </c>
      <c r="EV4" s="250" t="str">
        <f>INDEX(Mapping!$F:$F,MATCH(EV$3,Mapping!$B:$B,0))</f>
        <v>Calamiteitenvoorzieningaanvraagper aansluiting</v>
      </c>
      <c r="EW4" s="250" t="str">
        <f>INDEX(Mapping!$F:$F,MATCH(EW$3,Mapping!$B:$B,0))</f>
        <v>DoorkiesfaciliteitAanlegPer lijngroep</v>
      </c>
      <c r="EX4" s="250" t="str">
        <f>INDEX(Mapping!$F:$F,MATCH(EX$3,Mapping!$B:$B,0))</f>
        <v>Doorschakeldienstaanvraagenkelvoudig en meervoudig =&lt; 6 kanalen</v>
      </c>
      <c r="EY4" s="250" t="str">
        <f>INDEX(Mapping!$F:$F,MATCH(EY$3,Mapping!$B:$B,0))</f>
        <v>Doorschakeldienstaanvraagmeervoudig &gt; 6 kanalen</v>
      </c>
      <c r="EZ4" s="250" t="str">
        <f>INDEX(Mapping!$F:$F,MATCH(EZ$3,Mapping!$B:$B,0))</f>
        <v>Aanvraag extra groeps/enkelvoudige nummeraanleg/VVA2e t/m 15 extra (mrop)nummersper nummer</v>
      </c>
      <c r="FA4" s="250" t="str">
        <f>INDEX(Mapping!$F:$F,MATCH(FA$3,Mapping!$B:$B,0))</f>
        <v>GroepsnummerAanlegPer lijngroep</v>
      </c>
      <c r="FB4" s="250" t="str">
        <f>INDEX(Mapping!$F:$F,MATCH(FB$3,Mapping!$B:$B,0))</f>
        <v>GroepsnummerAanlegPer lijngroep</v>
      </c>
      <c r="FC4" s="250" t="str">
        <f>INDEX(Mapping!$F:$F,MATCH(FC$3,Mapping!$B:$B,0))</f>
        <v>Kostenindicatie bij beëindigen communicatieaanvraag</v>
      </c>
      <c r="FD4" s="250" t="str">
        <f>INDEX(Mapping!$F:$F,MATCH(FD$3,Mapping!$B:$B,0))</f>
        <v>Extra ISDN nummer(s) (ISDN 2),Aanleg</v>
      </c>
      <c r="FE4" s="250" t="str">
        <f>INDEX(Mapping!$F:$F,MATCH(FE$3,Mapping!$B:$B,0))</f>
        <v>Nummerweergave (alleen een tarief bij PSTN)VVA</v>
      </c>
      <c r="FF4" s="250" t="str">
        <f>INDEX(Mapping!$F:$F,MATCH(FF$3,Mapping!$B:$B,0))</f>
        <v>ServicecontractVVA</v>
      </c>
      <c r="FG4" s="250" t="str">
        <f>INDEX(Mapping!$F:$F,MATCH(FG$3,Mapping!$B:$B,0))</f>
        <v>ServicecontractVVA</v>
      </c>
      <c r="FH4" s="250" t="str">
        <f>INDEX(Mapping!$F:$F,MATCH(FH$3,Mapping!$B:$B,0))</f>
        <v>Subadressering (ISDN2)Aanleg</v>
      </c>
      <c r="FI4" s="250" t="str">
        <f>INDEX(Mapping!$F:$F,MATCH(FI$3,Mapping!$B:$B,0))</f>
        <v>Verwijsdienstaanvraagenkelvoudig en meervoudig =&lt; 6 kanalen</v>
      </c>
      <c r="FJ4" s="250" t="str">
        <f>INDEX(Mapping!$F:$F,MATCH(FJ$3,Mapping!$B:$B,0))</f>
        <v>Verwijsdienstaanvraagenkelvoudig en meervoudig =&lt; 6 kanalen</v>
      </c>
      <c r="FK4" s="251" t="str">
        <f>INDEX(Mapping!$F:$F,MATCH(FK$3,Mapping!$B:$B,0))</f>
        <v>Wisselgesprek (alleen een tarief bij PSTN)VVA</v>
      </c>
      <c r="FL4" s="275"/>
      <c r="FM4" s="276"/>
      <c r="FN4" s="274"/>
      <c r="FO4" s="277"/>
      <c r="FP4" s="278"/>
      <c r="FQ4" s="278"/>
      <c r="FR4" s="279"/>
      <c r="FS4" s="280"/>
      <c r="FT4" s="281"/>
      <c r="FU4" s="282"/>
      <c r="FV4" s="283"/>
      <c r="FW4" s="332"/>
    </row>
    <row r="5" spans="2:179" ht="14.4">
      <c r="B5" s="273"/>
      <c r="C5" s="120"/>
      <c r="D5" s="273" t="s">
        <v>642</v>
      </c>
      <c r="E5" s="133" t="s">
        <v>19</v>
      </c>
      <c r="F5" s="133" t="s">
        <v>465</v>
      </c>
      <c r="G5" s="133" t="s">
        <v>9</v>
      </c>
      <c r="H5" s="133" t="s">
        <v>458</v>
      </c>
      <c r="I5" s="133" t="str">
        <f>G5&amp;" "&amp;E5&amp;F5&amp;H5</f>
        <v>KPN Zakelijk BelBasisISDN2VVE nieuwe aanleg</v>
      </c>
      <c r="J5" s="120" t="str">
        <f>D5&amp;F5&amp;G5</f>
        <v>n1*ISDN2KPN</v>
      </c>
      <c r="K5" s="202">
        <f>INDEX(Facilitietenprofielen!D:D,MATCH($J5,Facilitietenprofielen!$A:$A,0))</f>
        <v>5</v>
      </c>
      <c r="L5" s="203">
        <f>INDEX(Facilitietenprofielen!E:E,MATCH($J5,Facilitietenprofielen!$A:$A,0))</f>
        <v>5</v>
      </c>
      <c r="M5" s="203">
        <f>INDEX(Facilitietenprofielen!F:F,MATCH($J5,Facilitietenprofielen!$A:$A,0))</f>
        <v>5</v>
      </c>
      <c r="N5" s="203">
        <f>INDEX(Facilitietenprofielen!G:G,MATCH($J5,Facilitietenprofielen!$A:$A,0))</f>
        <v>5</v>
      </c>
      <c r="O5" s="203">
        <f>INDEX(Facilitietenprofielen!H:H,MATCH($J5,Facilitietenprofielen!$A:$A,0))</f>
        <v>5</v>
      </c>
      <c r="P5" s="203">
        <f>INDEX(Facilitietenprofielen!I:I,MATCH($J5,Facilitietenprofielen!$A:$A,0))</f>
        <v>5</v>
      </c>
      <c r="Q5" s="203">
        <f>INDEX(Facilitietenprofielen!J:J,MATCH($J5,Facilitietenprofielen!$A:$A,0))</f>
        <v>5</v>
      </c>
      <c r="R5" s="203">
        <f>INDEX(Facilitietenprofielen!K:K,MATCH($J5,Facilitietenprofielen!$A:$A,0))</f>
        <v>5</v>
      </c>
      <c r="S5" s="203">
        <f>INDEX(Facilitietenprofielen!L:L,MATCH($J5,Facilitietenprofielen!$A:$A,0))</f>
        <v>5</v>
      </c>
      <c r="T5" s="203">
        <f>INDEX(Facilitietenprofielen!M:M,MATCH($J5,Facilitietenprofielen!$A:$A,0))</f>
        <v>510</v>
      </c>
      <c r="U5" s="203">
        <f>INDEX(Facilitietenprofielen!N:N,MATCH($J5,Facilitietenprofielen!$A:$A,0))</f>
        <v>102</v>
      </c>
      <c r="V5" s="203">
        <f>INDEX(Facilitietenprofielen!V:V,MATCH($J5,Facilitietenprofielen!$A:$A,0))</f>
        <v>1</v>
      </c>
      <c r="W5" s="203">
        <f>INDEX(Facilitietenprofielen!W:W,MATCH($J5,Facilitietenprofielen!$A:$A,0))</f>
        <v>1</v>
      </c>
      <c r="X5" s="203">
        <f>INDEX(Facilitietenprofielen!O:O,MATCH($J5,Facilitietenprofielen!$A:$A,0))</f>
        <v>1</v>
      </c>
      <c r="Y5" s="203">
        <f>INDEX(Facilitietenprofielen!P:P,MATCH($J5,Facilitietenprofielen!$A:$A,0))</f>
        <v>1</v>
      </c>
      <c r="Z5" s="203">
        <f>INDEX(Facilitietenprofielen!Q:Q,MATCH($J5,Facilitietenprofielen!$A:$A,0))</f>
        <v>1</v>
      </c>
      <c r="AA5" s="203">
        <f>INDEX(Facilitietenprofielen!R:R,MATCH($J5,Facilitietenprofielen!$A:$A,0))</f>
        <v>1</v>
      </c>
      <c r="AB5" s="203">
        <f>INDEX(Facilitietenprofielen!S:S,MATCH($J5,Facilitietenprofielen!$A:$A,0))</f>
        <v>1</v>
      </c>
      <c r="AC5" s="203">
        <f>INDEX(Facilitietenprofielen!T:T,MATCH($J5,Facilitietenprofielen!$A:$A,0))</f>
        <v>1</v>
      </c>
      <c r="AD5" s="203">
        <f>INDEX(Facilitietenprofielen!U:U,MATCH($J5,Facilitietenprofielen!$A:$A,0))</f>
        <v>1</v>
      </c>
      <c r="AE5" s="203">
        <f>INDEX(Facilitietenprofielen!Y:Y,MATCH($J5,Facilitietenprofielen!$A:$A,0))</f>
        <v>1</v>
      </c>
      <c r="AF5" s="203">
        <f>INDEX(Facilitietenprofielen!Z:Z,MATCH($J5,Facilitietenprofielen!$A:$A,0))</f>
        <v>1</v>
      </c>
      <c r="AG5" s="203">
        <f>INDEX(Facilitietenprofielen!AA:AA,MATCH($J5,Facilitietenprofielen!$A:$A,0))</f>
        <v>1</v>
      </c>
      <c r="AH5" s="203">
        <f>INDEX(Facilitietenprofielen!AB:AB,MATCH($J5,Facilitietenprofielen!$A:$A,0))</f>
        <v>1</v>
      </c>
      <c r="AI5" s="203">
        <f>INDEX(Facilitietenprofielen!AC:AC,MATCH($J5,Facilitietenprofielen!$A:$A,0))</f>
        <v>1</v>
      </c>
      <c r="AJ5" s="203">
        <f>INDEX(Facilitietenprofielen!AD:AD,MATCH($J5,Facilitietenprofielen!$A:$A,0))</f>
        <v>1</v>
      </c>
      <c r="AK5" s="203">
        <f>INDEX(Facilitietenprofielen!AE:AE,MATCH($J5,Facilitietenprofielen!$A:$A,0))</f>
        <v>1</v>
      </c>
      <c r="AL5" s="203">
        <f>INDEX(Facilitietenprofielen!AF:AF,MATCH($J5,Facilitietenprofielen!$A:$A,0))</f>
        <v>1</v>
      </c>
      <c r="AM5" s="203">
        <f>INDEX(Facilitietenprofielen!AG:AG,MATCH($J5,Facilitietenprofielen!$A:$A,0))</f>
        <v>1</v>
      </c>
      <c r="AN5" s="203">
        <f>INDEX(Facilitietenprofielen!AH:AH,MATCH($J5,Facilitietenprofielen!$A:$A,0))</f>
        <v>1</v>
      </c>
      <c r="AO5" s="203">
        <f>INDEX(Facilitietenprofielen!AI:AI,MATCH($J5,Facilitietenprofielen!$A:$A,0))</f>
        <v>1</v>
      </c>
      <c r="AP5" s="203">
        <f>INDEX(Facilitietenprofielen!AJ:AJ,MATCH($J5,Facilitietenprofielen!$A:$A,0))</f>
        <v>1</v>
      </c>
      <c r="AQ5" s="203">
        <f>INDEX(Facilitietenprofielen!AK:AK,MATCH($J5,Facilitietenprofielen!$A:$A,0))</f>
        <v>1</v>
      </c>
      <c r="AR5" s="203">
        <f>INDEX(Facilitietenprofielen!AL:AL,MATCH($J5,Facilitietenprofielen!$A:$A,0))</f>
        <v>1</v>
      </c>
      <c r="AS5" s="203">
        <f>INDEX(Facilitietenprofielen!AM:AM,MATCH($J5,Facilitietenprofielen!$A:$A,0))</f>
        <v>1</v>
      </c>
      <c r="AT5" s="203">
        <f>INDEX(Facilitietenprofielen!AN:AN,MATCH($J5,Facilitietenprofielen!$A:$A,0))</f>
        <v>1</v>
      </c>
      <c r="AU5" s="203">
        <f>INDEX(Facilitietenprofielen!AO:AO,MATCH($J5,Facilitietenprofielen!$A:$A,0))</f>
        <v>1</v>
      </c>
      <c r="AV5" s="204">
        <f>INDEX(Facilitietenprofielen!AP:AP,MATCH($J5,Facilitietenprofielen!$A:$A,0))</f>
        <v>1</v>
      </c>
      <c r="AW5" s="203">
        <f>INDEX('Rekenblad Aansluiting'!$O:$O,MATCH($G5&amp;" "&amp;$E5&amp;BE$3&amp;$H5,'Rekenblad Aansluiting'!$A:$A,0))</f>
        <v>102.77777777777777</v>
      </c>
      <c r="AX5" s="203">
        <f>INDEX('Rekenblad Aansluiting'!$O:$O,MATCH($G5&amp;" "&amp;$E5&amp;BF$3&amp;$H5,'Rekenblad Aansluiting'!$A:$A,0))</f>
        <v>102.77777777777777</v>
      </c>
      <c r="AY5" s="203">
        <f>INDEX('Rekenblad Aansluiting'!$O:$O,MATCH($G5&amp;" "&amp;$E5&amp;BG$3&amp;$H5,'Rekenblad Aansluiting'!$A:$A,0))</f>
        <v>102.77777777777777</v>
      </c>
      <c r="AZ5" s="203">
        <f>INDEX('Rekenblad Aansluiting'!$O:$O,MATCH($G5&amp;" "&amp;$E5&amp;BH$3&amp;$H5,'Rekenblad Aansluiting'!$A:$A,0))</f>
        <v>102.77777777777777</v>
      </c>
      <c r="BA5" s="203">
        <f>INDEX('Rekenblad Aansluiting'!$O:$O,MATCH($G5&amp;" "&amp;$E5&amp;BI$3&amp;$H5,'Rekenblad Aansluiting'!$A:$A,0))</f>
        <v>102.77777777777777</v>
      </c>
      <c r="BB5" s="203">
        <f>INDEX('Rekenblad Aansluiting'!$O:$O,MATCH($G5&amp;" "&amp;$E5&amp;BJ$3&amp;$H5,'Rekenblad Aansluiting'!$A:$A,0))</f>
        <v>102.77777777777777</v>
      </c>
      <c r="BC5" s="203">
        <f>INDEX('Rekenblad Aansluiting'!$O:$O,MATCH($G5&amp;" "&amp;$E5&amp;BK$3&amp;$H5,'Rekenblad Aansluiting'!$A:$A,0))</f>
        <v>102.77777777777777</v>
      </c>
      <c r="BD5" s="203">
        <f>(K5+L5)*AW5+AX5*M5+(N5+O5)*AY5+SUMPRODUCT(AZ5:BC5,P5:S5)</f>
        <v>4625</v>
      </c>
      <c r="BE5" s="216">
        <f>INDEX('Rekenblad Aansluiting'!$X:$X,MATCH($G5&amp;" "&amp;$E5&amp;BE$3&amp;$H5,'Rekenblad Aansluiting'!$A:$A,0))</f>
        <v>77.017966949999987</v>
      </c>
      <c r="BF5" s="217">
        <f>INDEX('Rekenblad Aansluiting'!$X:$X,MATCH($G5&amp;" "&amp;$E5&amp;BF$3&amp;$H5,'Rekenblad Aansluiting'!$A:$A,0))</f>
        <v>77.017966949999987</v>
      </c>
      <c r="BG5" s="217">
        <f>INDEX('Rekenblad Aansluiting'!$X:$X,MATCH($G5&amp;" "&amp;$E5&amp;BG$3&amp;$H5,'Rekenblad Aansluiting'!$A:$A,0))</f>
        <v>77.017966949999987</v>
      </c>
      <c r="BH5" s="217">
        <f>INDEX('Rekenblad Aansluiting'!$X:$X,MATCH($G5&amp;" "&amp;$E5&amp;BH$3&amp;$H5,'Rekenblad Aansluiting'!$A:$A,0))</f>
        <v>65.379043694444434</v>
      </c>
      <c r="BI5" s="217">
        <f>INDEX('Rekenblad Aansluiting'!$X:$X,MATCH($G5&amp;" "&amp;$E5&amp;BI$3&amp;$H5,'Rekenblad Aansluiting'!$A:$A,0))</f>
        <v>65.379043694444434</v>
      </c>
      <c r="BJ5" s="217">
        <f>INDEX('Rekenblad Aansluiting'!$X:$X,MATCH($G5&amp;" "&amp;$E5&amp;BJ$3&amp;$H5,'Rekenblad Aansluiting'!$A:$A,0))</f>
        <v>65.379043694444434</v>
      </c>
      <c r="BK5" s="217">
        <f>INDEX('Rekenblad Aansluiting'!$X:$X,MATCH($G5&amp;" "&amp;$E5&amp;BK$3&amp;$H5,'Rekenblad Aansluiting'!$A:$A,0))</f>
        <v>87.868888888888875</v>
      </c>
      <c r="BL5" s="222">
        <f t="shared" ref="BL5:BL20" si="0">BE5*(K5+L5)+BF5*M5+(N5+O5)*BG5+BH5*P5+Q5*BI5+BJ5*R5+S5*BK5</f>
        <v>3345.4792736111103</v>
      </c>
      <c r="BM5" s="128">
        <f>IF(ISNA(INDEX('Tarieven ZM'!$G:$G,MATCH($G5&amp;BM$3,'Tarieven ZM'!$B:$B,0))),0,INDEX('Tarieven ZM'!$G:$G,MATCH($G5&amp;BM$3,'Tarieven ZM'!$B:$B,0)))</f>
        <v>100</v>
      </c>
      <c r="BN5" s="132">
        <f>IF(ISNA(INDEX('Tarieven ZM'!$G:$G,MATCH($G5&amp;BN$3,'Tarieven ZM'!$B:$B,0))),0,INDEX('Tarieven ZM'!$G:$G,MATCH($G5&amp;BN$3,'Tarieven ZM'!$B:$B,0)))</f>
        <v>100</v>
      </c>
      <c r="BO5" s="132">
        <f>IF(ISNA(INDEX('Tarieven ZM'!$G:$G,MATCH($G5&amp;BO$3,'Tarieven ZM'!$B:$B,0))),0,INDEX('Tarieven ZM'!$G:$G,MATCH($G5&amp;BO$3,'Tarieven ZM'!$B:$B,0)))</f>
        <v>100</v>
      </c>
      <c r="BP5" s="132">
        <f>IF(ISNA(INDEX('Tarieven ZM'!$G:$G,MATCH($G5&amp;BP$3,'Tarieven ZM'!$B:$B,0))),0,INDEX('Tarieven ZM'!$G:$G,MATCH($G5&amp;BP$3,'Tarieven ZM'!$B:$B,0)))</f>
        <v>100</v>
      </c>
      <c r="BQ5" s="132">
        <f>IF(ISNA(INDEX('Tarieven ZM'!$G:$G,MATCH($G5&amp;BQ$3,'Tarieven ZM'!$B:$B,0))),0,INDEX('Tarieven ZM'!$G:$G,MATCH($G5&amp;BQ$3,'Tarieven ZM'!$B:$B,0)))</f>
        <v>100</v>
      </c>
      <c r="BR5" s="132">
        <f>IF(ISNA(INDEX('Tarieven ZM'!$G:$G,MATCH($G5&amp;BR$3,'Tarieven ZM'!$B:$B,0))),0,INDEX('Tarieven ZM'!$G:$G,MATCH($G5&amp;BR$3,'Tarieven ZM'!$B:$B,0)))</f>
        <v>100</v>
      </c>
      <c r="BS5" s="132">
        <f>IF(ISNA(INDEX('Tarieven ZM'!$G:$G,MATCH($G5&amp;BS$3,'Tarieven ZM'!$B:$B,0))),0,INDEX('Tarieven ZM'!$G:$G,MATCH($G5&amp;BS$3,'Tarieven ZM'!$B:$B,0)))</f>
        <v>0</v>
      </c>
      <c r="BT5" s="132">
        <f>IF(ISNA(INDEX('Tarieven ZM'!$G:$G,MATCH($G5&amp;BT$3,'Tarieven ZM'!$B:$B,0))),0,INDEX('Tarieven ZM'!$G:$G,MATCH($G5&amp;BT$3,'Tarieven ZM'!$B:$B,0)))</f>
        <v>0</v>
      </c>
      <c r="BU5" s="132">
        <f>IF(ISNA(INDEX('Tarieven ZM'!$G:$G,MATCH($G5&amp;BU$3,'Tarieven ZM'!$B:$B,0))),0,INDEX('Tarieven ZM'!$G:$G,MATCH($G5&amp;BU$3,'Tarieven ZM'!$B:$B,0)))</f>
        <v>0</v>
      </c>
      <c r="BV5" s="132">
        <f>IF(ISNA(INDEX('Tarieven ZM'!$G:$G,MATCH($G5&amp;BV$3,'Tarieven ZM'!$B:$B,0))),0,INDEX('Tarieven ZM'!$G:$G,MATCH($G5&amp;BV$3,'Tarieven ZM'!$B:$B,0)))</f>
        <v>0</v>
      </c>
      <c r="BW5" s="132">
        <f>IF(ISNA(INDEX('Tarieven ZM'!$G:$G,MATCH($G5&amp;BW$3,'Tarieven ZM'!$B:$B,0))),0,INDEX('Tarieven ZM'!$G:$G,MATCH($G5&amp;BW$3,'Tarieven ZM'!$B:$B,0)))</f>
        <v>0</v>
      </c>
      <c r="BX5" s="132">
        <f>IF(ISNA(INDEX('Tarieven ZM'!$G:$G,MATCH($G5&amp;BX$3,'Tarieven ZM'!$B:$B,0))),0,INDEX('Tarieven ZM'!$G:$G,MATCH($G5&amp;BX$3,'Tarieven ZM'!$B:$B,0)))</f>
        <v>0</v>
      </c>
      <c r="BY5" s="132">
        <f>IF(ISNA(INDEX('Tarieven ZM'!$G:$G,MATCH($G5&amp;BY$3,'Tarieven ZM'!$B:$B,0))),0,INDEX('Tarieven ZM'!$G:$G,MATCH($G5&amp;BY$3,'Tarieven ZM'!$B:$B,0)))</f>
        <v>0</v>
      </c>
      <c r="BZ5" s="132">
        <f>IF(ISNA(INDEX('Tarieven ZM'!$G:$G,MATCH($G5&amp;BZ$3,'Tarieven ZM'!$B:$B,0))),0,INDEX('Tarieven ZM'!$G:$G,MATCH($G5&amp;BZ$3,'Tarieven ZM'!$B:$B,0)))</f>
        <v>0</v>
      </c>
      <c r="CA5" s="132">
        <f>IF(ISNA(INDEX('Tarieven ZM'!$G:$G,MATCH($G5&amp;CA$3,'Tarieven ZM'!$B:$B,0))),0,INDEX('Tarieven ZM'!$G:$G,MATCH($G5&amp;CA$3,'Tarieven ZM'!$B:$B,0)))</f>
        <v>0</v>
      </c>
      <c r="CB5" s="132">
        <f>IF(ISNA(INDEX('Tarieven ZM'!$G:$G,MATCH($G5&amp;CB$3,'Tarieven ZM'!$B:$B,0))),0,INDEX('Tarieven ZM'!$G:$G,MATCH($G5&amp;CB$3,'Tarieven ZM'!$B:$B,0)))</f>
        <v>0</v>
      </c>
      <c r="CC5" s="132">
        <f>IF(ISNA(INDEX('Tarieven ZM'!$G:$G,MATCH($G5&amp;CC$3,'Tarieven ZM'!$B:$B,0))),0,INDEX('Tarieven ZM'!$G:$G,MATCH($G5&amp;CC$3,'Tarieven ZM'!$B:$B,0)))</f>
        <v>0</v>
      </c>
      <c r="CD5" s="132">
        <f>IF(ISNA(INDEX('Tarieven ZM'!$G:$G,MATCH($G5&amp;CD$3,'Tarieven ZM'!$B:$B,0))),0,INDEX('Tarieven ZM'!$G:$G,MATCH($G5&amp;CD$3,'Tarieven ZM'!$B:$B,0)))</f>
        <v>0</v>
      </c>
      <c r="CE5" s="132">
        <f>IF(ISNA(INDEX('Tarieven ZM'!$G:$G,MATCH($G5&amp;CE$3,'Tarieven ZM'!$B:$B,0))),0,INDEX('Tarieven ZM'!$G:$G,MATCH($G5&amp;CE$3,'Tarieven ZM'!$B:$B,0)))</f>
        <v>0</v>
      </c>
      <c r="CF5" s="132">
        <f>IF(ISNA(INDEX('Tarieven ZM'!$G:$G,MATCH($G5&amp;CF$3,'Tarieven ZM'!$B:$B,0))),0,INDEX('Tarieven ZM'!$G:$G,MATCH($G5&amp;CF$3,'Tarieven ZM'!$B:$B,0)))</f>
        <v>0</v>
      </c>
      <c r="CG5" s="132">
        <f>IF(ISNA(INDEX('Tarieven ZM'!$G:$G,MATCH($G5&amp;CG$3,'Tarieven ZM'!$B:$B,0))),0,INDEX('Tarieven ZM'!$G:$G,MATCH($G5&amp;CG$3,'Tarieven ZM'!$B:$B,0)))</f>
        <v>0</v>
      </c>
      <c r="CH5" s="132">
        <f>IF(ISNA(INDEX('Tarieven ZM'!$G:$G,MATCH($G5&amp;CH$3,'Tarieven ZM'!$B:$B,0))),0,INDEX('Tarieven ZM'!$G:$G,MATCH($G5&amp;CH$3,'Tarieven ZM'!$B:$B,0)))</f>
        <v>0</v>
      </c>
      <c r="CI5" s="132">
        <f>IF(ISNA(INDEX('Tarieven ZM'!$G:$G,MATCH($G5&amp;CI$3,'Tarieven ZM'!$B:$B,0))),0,INDEX('Tarieven ZM'!$G:$G,MATCH($G5&amp;CI$3,'Tarieven ZM'!$B:$B,0)))</f>
        <v>0</v>
      </c>
      <c r="CJ5" s="132">
        <f>IF(ISNA(INDEX('Tarieven ZM'!$G:$G,MATCH($G5&amp;CJ$3,'Tarieven ZM'!$B:$B,0))),0,INDEX('Tarieven ZM'!$G:$G,MATCH($G5&amp;CJ$3,'Tarieven ZM'!$B:$B,0)))</f>
        <v>0</v>
      </c>
      <c r="CK5" s="119">
        <f>IF(ISNA(INDEX('Tarieven ZM'!$G:$G,MATCH($G5&amp;CK$3,'Tarieven ZM'!$B:$B,0))),0,INDEX('Tarieven ZM'!$G:$G,MATCH($G5&amp;CK$3,'Tarieven ZM'!$B:$B,0)))</f>
        <v>0</v>
      </c>
      <c r="CL5" s="128">
        <f>IF(ISNA(INDEX('Tarieven ZM'!$H:$H,MATCH($G5&amp;CL$3,'Tarieven ZM'!$B:$B,0))),0,INDEX('Tarieven ZM'!$H:$H,MATCH($G5&amp;CL$3,'Tarieven ZM'!$B:$B,0)))</f>
        <v>1000</v>
      </c>
      <c r="CM5" s="132">
        <f>IF(ISNA(INDEX('Tarieven ZM'!$H:$H,MATCH($G5&amp;CM$3,'Tarieven ZM'!$B:$B,0))),0,INDEX('Tarieven ZM'!$H:$H,MATCH($G5&amp;CM$3,'Tarieven ZM'!$B:$B,0)))</f>
        <v>1000</v>
      </c>
      <c r="CN5" s="132">
        <f>IF(ISNA(INDEX('Tarieven ZM'!$H:$H,MATCH($G5&amp;CN$3,'Tarieven ZM'!$B:$B,0))),0,INDEX('Tarieven ZM'!$H:$H,MATCH($G5&amp;CN$3,'Tarieven ZM'!$B:$B,0)))</f>
        <v>1000</v>
      </c>
      <c r="CO5" s="132">
        <f>IF(ISNA(INDEX('Tarieven ZM'!$H:$H,MATCH($G5&amp;CO$3,'Tarieven ZM'!$B:$B,0))),0,INDEX('Tarieven ZM'!$H:$H,MATCH($G5&amp;CO$3,'Tarieven ZM'!$B:$B,0)))</f>
        <v>1000</v>
      </c>
      <c r="CP5" s="132">
        <f>IF(ISNA(INDEX('Tarieven ZM'!$H:$H,MATCH($G5&amp;CP$3,'Tarieven ZM'!$B:$B,0))),0,INDEX('Tarieven ZM'!$H:$H,MATCH($G5&amp;CP$3,'Tarieven ZM'!$B:$B,0)))</f>
        <v>1000</v>
      </c>
      <c r="CQ5" s="132">
        <f>IF(ISNA(INDEX('Tarieven ZM'!$H:$H,MATCH($G5&amp;CQ$3,'Tarieven ZM'!$B:$B,0))),0,INDEX('Tarieven ZM'!$H:$H,MATCH($G5&amp;CQ$3,'Tarieven ZM'!$B:$B,0)))</f>
        <v>1000</v>
      </c>
      <c r="CR5" s="132">
        <f>IF(ISNA(INDEX('Tarieven ZM'!$H:$H,MATCH($G5&amp;CR$3,'Tarieven ZM'!$B:$B,0))),0,INDEX('Tarieven ZM'!$H:$H,MATCH($G5&amp;CR$3,'Tarieven ZM'!$B:$B,0)))</f>
        <v>1000</v>
      </c>
      <c r="CS5" s="132">
        <f>IF(ISNA(INDEX('Tarieven ZM'!$H:$H,MATCH($G5&amp;CS$3,'Tarieven ZM'!$B:$B,0))),0,INDEX('Tarieven ZM'!$H:$H,MATCH($G5&amp;CS$3,'Tarieven ZM'!$B:$B,0)))</f>
        <v>0</v>
      </c>
      <c r="CT5" s="132">
        <f>IF(ISNA(INDEX('Tarieven ZM'!$H:$H,MATCH($G5&amp;CT$3,'Tarieven ZM'!$B:$B,0))),0,INDEX('Tarieven ZM'!$H:$H,MATCH($G5&amp;CT$3,'Tarieven ZM'!$B:$B,0)))</f>
        <v>0</v>
      </c>
      <c r="CU5" s="132">
        <f>IF(ISNA(INDEX('Tarieven ZM'!$H:$H,MATCH($G5&amp;CU$3,'Tarieven ZM'!$B:$B,0))),0,INDEX('Tarieven ZM'!$H:$H,MATCH($G5&amp;CU$3,'Tarieven ZM'!$B:$B,0)))</f>
        <v>0</v>
      </c>
      <c r="CV5" s="132">
        <f>IF(ISNA(INDEX('Tarieven ZM'!$H:$H,MATCH($G5&amp;CV$3,'Tarieven ZM'!$B:$B,0))),0,INDEX('Tarieven ZM'!$H:$H,MATCH($G5&amp;CV$3,'Tarieven ZM'!$B:$B,0)))</f>
        <v>0</v>
      </c>
      <c r="CW5" s="132">
        <f>IF(ISNA(INDEX('Tarieven ZM'!$H:$H,MATCH($G5&amp;CW$3,'Tarieven ZM'!$B:$B,0))),0,INDEX('Tarieven ZM'!$H:$H,MATCH($G5&amp;CW$3,'Tarieven ZM'!$B:$B,0)))</f>
        <v>0</v>
      </c>
      <c r="CX5" s="132">
        <f>IF(ISNA(INDEX('Tarieven ZM'!$H:$H,MATCH($G5&amp;CX$3,'Tarieven ZM'!$B:$B,0))),0,INDEX('Tarieven ZM'!$H:$H,MATCH($G5&amp;CX$3,'Tarieven ZM'!$B:$B,0)))</f>
        <v>0</v>
      </c>
      <c r="CY5" s="132">
        <f>IF(ISNA(INDEX('Tarieven ZM'!$H:$H,MATCH($G5&amp;CY$3,'Tarieven ZM'!$B:$B,0))),0,INDEX('Tarieven ZM'!$H:$H,MATCH($G5&amp;CY$3,'Tarieven ZM'!$B:$B,0)))</f>
        <v>0</v>
      </c>
      <c r="CZ5" s="132">
        <f>IF(ISNA(INDEX('Tarieven ZM'!$H:$H,MATCH($G5&amp;CZ$3,'Tarieven ZM'!$B:$B,0))),0,INDEX('Tarieven ZM'!$H:$H,MATCH($G5&amp;CZ$3,'Tarieven ZM'!$B:$B,0)))</f>
        <v>0</v>
      </c>
      <c r="DA5" s="132">
        <f>IF(ISNA(INDEX('Tarieven ZM'!$H:$H,MATCH($G5&amp;DA$3,'Tarieven ZM'!$B:$B,0))),0,INDEX('Tarieven ZM'!$H:$H,MATCH($G5&amp;DA$3,'Tarieven ZM'!$B:$B,0)))</f>
        <v>0</v>
      </c>
      <c r="DB5" s="132">
        <f>IF(ISNA(INDEX('Tarieven ZM'!$H:$H,MATCH($G5&amp;DB$3,'Tarieven ZM'!$B:$B,0))),0,INDEX('Tarieven ZM'!$H:$H,MATCH($G5&amp;DB$3,'Tarieven ZM'!$B:$B,0)))</f>
        <v>0</v>
      </c>
      <c r="DC5" s="132">
        <f>IF(ISNA(INDEX('Tarieven ZM'!$H:$H,MATCH($G5&amp;DC$3,'Tarieven ZM'!$B:$B,0))),0,INDEX('Tarieven ZM'!$H:$H,MATCH($G5&amp;DC$3,'Tarieven ZM'!$B:$B,0)))</f>
        <v>0</v>
      </c>
      <c r="DD5" s="132">
        <f>IF(ISNA(INDEX('Tarieven ZM'!$H:$H,MATCH($G5&amp;DD$3,'Tarieven ZM'!$B:$B,0))),0,INDEX('Tarieven ZM'!$H:$H,MATCH($G5&amp;DD$3,'Tarieven ZM'!$B:$B,0)))</f>
        <v>1000</v>
      </c>
      <c r="DE5" s="132">
        <f>IF(ISNA(INDEX('Tarieven ZM'!$H:$H,MATCH($G5&amp;DE$3,'Tarieven ZM'!$B:$B,0))),0,INDEX('Tarieven ZM'!$H:$H,MATCH($G5&amp;DE$3,'Tarieven ZM'!$B:$B,0)))</f>
        <v>0</v>
      </c>
      <c r="DF5" s="132">
        <f>IF(ISNA(INDEX('Tarieven ZM'!$H:$H,MATCH($G5&amp;DF$3,'Tarieven ZM'!$B:$B,0))),0,INDEX('Tarieven ZM'!$H:$H,MATCH($G5&amp;DF$3,'Tarieven ZM'!$B:$B,0)))</f>
        <v>0</v>
      </c>
      <c r="DG5" s="132">
        <f>IF(ISNA(INDEX('Tarieven ZM'!$H:$H,MATCH($G5&amp;DG$3,'Tarieven ZM'!$B:$B,0))),0,INDEX('Tarieven ZM'!$H:$H,MATCH($G5&amp;DG$3,'Tarieven ZM'!$B:$B,0)))</f>
        <v>0</v>
      </c>
      <c r="DH5" s="132">
        <f>IF(ISNA(INDEX('Tarieven ZM'!$H:$H,MATCH($G5&amp;DH$3,'Tarieven ZM'!$B:$B,0))),0,INDEX('Tarieven ZM'!$H:$H,MATCH($G5&amp;DH$3,'Tarieven ZM'!$B:$B,0)))</f>
        <v>0</v>
      </c>
      <c r="DI5" s="132">
        <f>IF(ISNA(INDEX('Tarieven ZM'!$H:$H,MATCH($G5&amp;DI$3,'Tarieven ZM'!$B:$B,0))),0,INDEX('Tarieven ZM'!$H:$H,MATCH($G5&amp;DI$3,'Tarieven ZM'!$B:$B,0)))</f>
        <v>0</v>
      </c>
      <c r="DJ5" s="119">
        <f>IF(ISNA(INDEX('Tarieven ZM'!$H:$H,MATCH($G5&amp;DJ$3,'Tarieven ZM'!$B:$B,0))),0,INDEX('Tarieven ZM'!$H:$H,MATCH($G5&amp;DJ$3,'Tarieven ZM'!$B:$B,0)))</f>
        <v>1000</v>
      </c>
      <c r="DK5" s="216">
        <f>SUMPRODUCT($X5:$AV5,BM5:CK5)+V5</f>
        <v>601</v>
      </c>
      <c r="DL5" s="141">
        <f>SUMPRODUCT($X5:$AV5,CL5:DJ5)/Parameters!$B$9</f>
        <v>250</v>
      </c>
      <c r="DM5" s="156">
        <f>DK5+DL5</f>
        <v>851</v>
      </c>
      <c r="DN5" s="128">
        <f>INDEX(WLR!$J:$J,MATCH(DN$4,WLR!$A:$A,0))</f>
        <v>10.39</v>
      </c>
      <c r="DO5" s="132">
        <f>INDEX(WLR!$J:$J,MATCH(DO$4,WLR!$A:$A,0))</f>
        <v>10.39</v>
      </c>
      <c r="DP5" s="132">
        <f>INDEX(WLR!$J:$J,MATCH(DP$4,WLR!$A:$A,0))</f>
        <v>62.94</v>
      </c>
      <c r="DQ5" s="132">
        <f>INDEX(WLR!$J:$J,MATCH(DQ$4,WLR!$A:$A,0))</f>
        <v>62.94</v>
      </c>
      <c r="DR5" s="132">
        <f>INDEX(WLR!$J:$J,MATCH(DR$4,WLR!$A:$A,0))</f>
        <v>494.44</v>
      </c>
      <c r="DS5" s="132">
        <f>INDEX(WLR!$J:$J,MATCH(DS$4,WLR!$A:$A,0))</f>
        <v>494.44</v>
      </c>
      <c r="DT5" s="132">
        <f>INDEX(WLR!$J:$J,MATCH(DT$4,WLR!$A:$A,0))</f>
        <v>3510.28</v>
      </c>
      <c r="DU5" s="132">
        <f>INDEX(WLR!$J:$J,MATCH(DU$4,WLR!$A:$A,0))</f>
        <v>1.19</v>
      </c>
      <c r="DV5" s="132">
        <f>INDEX(WLR!$J:$J,MATCH(DV$4,WLR!$A:$A,0))</f>
        <v>29.43</v>
      </c>
      <c r="DW5" s="132">
        <f>INDEX(WLR!$J:$J,MATCH(DW$4,WLR!$A:$A,0))</f>
        <v>192.45</v>
      </c>
      <c r="DX5" s="132">
        <f>INDEX(WLR!$J:$J,MATCH(DX$4,WLR!$A:$A,0))</f>
        <v>9.8000000000000007</v>
      </c>
      <c r="DY5" s="132">
        <f>INDEX(WLR!$J:$J,MATCH(DY$4,WLR!$A:$A,0))</f>
        <v>34.950000000000003</v>
      </c>
      <c r="DZ5" s="132">
        <f>INDEX(WLR!$J:$J,MATCH(DZ$4,WLR!$A:$A,0))</f>
        <v>34.950000000000003</v>
      </c>
      <c r="EA5" s="132">
        <f>INDEX(WLR!$J:$J,MATCH(EA$4,WLR!$A:$A,0))</f>
        <v>2.08</v>
      </c>
      <c r="EB5" s="132">
        <f>INDEX(WLR!$J:$J,MATCH(EB$4,WLR!$A:$A,0))</f>
        <v>1.97</v>
      </c>
      <c r="EC5" s="132">
        <f>INDEX(WLR!$J:$J,MATCH(EC$4,WLR!$A:$A,0))</f>
        <v>1.97</v>
      </c>
      <c r="ED5" s="132">
        <f>INDEX(WLR!$J:$J,MATCH(ED$4,WLR!$A:$A,0))</f>
        <v>0</v>
      </c>
      <c r="EE5" s="132">
        <f>INDEX(WLR!$J:$J,MATCH(EE$4,WLR!$A:$A,0))</f>
        <v>0</v>
      </c>
      <c r="EF5" s="132">
        <f>INDEX(WLR!$J:$J,MATCH(EF$4,WLR!$A:$A,0))</f>
        <v>0.96</v>
      </c>
      <c r="EG5" s="132">
        <f>INDEX(WLR!$J:$J,MATCH(EG$4,WLR!$A:$A,0))</f>
        <v>4.53</v>
      </c>
      <c r="EH5" s="132">
        <f>INDEX(WLR!$J:$J,MATCH(EH$4,WLR!$A:$A,0))</f>
        <v>4.53</v>
      </c>
      <c r="EI5" s="132">
        <f>INDEX(WLR!$J:$J,MATCH(EI$4,WLR!$A:$A,0))</f>
        <v>7.58</v>
      </c>
      <c r="EJ5" s="132">
        <f>INDEX(WLR!$J:$J,MATCH(EJ$4,WLR!$A:$A,0))</f>
        <v>31.11</v>
      </c>
      <c r="EK5" s="132">
        <f>INDEX(WLR!$J:$J,MATCH(EK$4,WLR!$A:$A,0))</f>
        <v>31.11</v>
      </c>
      <c r="EL5" s="119">
        <f>INDEX(WLR!$J:$J,MATCH(EL$4,WLR!$A:$A,0))</f>
        <v>0.96</v>
      </c>
      <c r="EM5" s="128">
        <f>INDEX(WLR!$I:$I,MATCH(EM$4,WLR!$A:$A,0))</f>
        <v>0</v>
      </c>
      <c r="EN5" s="132">
        <f>INDEX(WLR!$I:$I,MATCH(EN$4,WLR!$A:$A,0))</f>
        <v>16.21</v>
      </c>
      <c r="EO5" s="132">
        <f>INDEX(WLR!$I:$I,MATCH(EO$4,WLR!$A:$A,0))</f>
        <v>0</v>
      </c>
      <c r="EP5" s="132">
        <f>INDEX(WLR!$I:$I,MATCH(EP$4,WLR!$A:$A,0))</f>
        <v>16.21</v>
      </c>
      <c r="EQ5" s="132">
        <f>INDEX(WLR!$I:$I,MATCH(EQ$4,WLR!$A:$A,0))</f>
        <v>0</v>
      </c>
      <c r="ER5" s="132">
        <f>INDEX(WLR!$I:$I,MATCH(ER$4,WLR!$A:$A,0))</f>
        <v>16.21</v>
      </c>
      <c r="ES5" s="132">
        <f>INDEX(WLR!$I:$I,MATCH(ES$4,WLR!$A:$A,0))</f>
        <v>0</v>
      </c>
      <c r="ET5" s="132">
        <f>INDEX(WLR!$I:$I,MATCH(ET$4,WLR!$A:$A,0))</f>
        <v>82.82</v>
      </c>
      <c r="EU5" s="132">
        <f>INDEX(WLR!$I:$I,MATCH(EU$4,WLR!$A:$A,0))</f>
        <v>748.42</v>
      </c>
      <c r="EV5" s="132">
        <f>INDEX(WLR!$I:$I,MATCH(EV$4,WLR!$A:$A,0))</f>
        <v>1282.99</v>
      </c>
      <c r="EW5" s="132">
        <f>INDEX(WLR!$I:$I,MATCH(EW$4,WLR!$A:$A,0))</f>
        <v>16.21</v>
      </c>
      <c r="EX5" s="132">
        <f>INDEX(WLR!$I:$I,MATCH(EX$4,WLR!$A:$A,0))</f>
        <v>79.94</v>
      </c>
      <c r="EY5" s="132">
        <f>INDEX(WLR!$I:$I,MATCH(EY$4,WLR!$A:$A,0))</f>
        <v>839.48</v>
      </c>
      <c r="EZ5" s="132">
        <f>INDEX(WLR!$I:$I,MATCH(EZ$4,WLR!$A:$A,0))</f>
        <v>32.950000000000003</v>
      </c>
      <c r="FA5" s="132">
        <f>INDEX(WLR!$I:$I,MATCH(FA$4,WLR!$A:$A,0))</f>
        <v>16.21</v>
      </c>
      <c r="FB5" s="132">
        <f>INDEX(WLR!$I:$I,MATCH(FB$4,WLR!$A:$A,0))</f>
        <v>16.21</v>
      </c>
      <c r="FC5" s="132">
        <f>INDEX(WLR!$I:$I,MATCH(FC$4,WLR!$A:$A,0))</f>
        <v>0</v>
      </c>
      <c r="FD5" s="132">
        <f>INDEX(WLR!$I:$I,MATCH(FD$4,WLR!$A:$A,0))</f>
        <v>15.73</v>
      </c>
      <c r="FE5" s="132">
        <f>INDEX(WLR!$I:$I,MATCH(FE$4,WLR!$A:$A,0))</f>
        <v>0</v>
      </c>
      <c r="FF5" s="132">
        <f>INDEX(WLR!$I:$I,MATCH(FF$4,WLR!$A:$A,0))</f>
        <v>0</v>
      </c>
      <c r="FG5" s="132">
        <f>INDEX(WLR!$I:$I,MATCH(FG$4,WLR!$A:$A,0))</f>
        <v>0</v>
      </c>
      <c r="FH5" s="132">
        <f>INDEX(WLR!$I:$I,MATCH(FH$4,WLR!$A:$A,0))</f>
        <v>15.73</v>
      </c>
      <c r="FI5" s="132">
        <f>INDEX(WLR!$I:$I,MATCH(FI$4,WLR!$A:$A,0))</f>
        <v>40.06</v>
      </c>
      <c r="FJ5" s="132">
        <f>INDEX(WLR!$I:$I,MATCH(FJ$4,WLR!$A:$A,0))</f>
        <v>40.06</v>
      </c>
      <c r="FK5" s="119">
        <f>INDEX(WLR!$I:$I,MATCH(FK$4,WLR!$A:$A,0))</f>
        <v>0</v>
      </c>
      <c r="FL5" s="216">
        <f>SUMPRODUCT(X5:AV5,DN5:EL5)+V5*(1-Parameters!$B$52)</f>
        <v>5036.1899999999987</v>
      </c>
      <c r="FM5" s="231">
        <f>SUMPRODUCT(X5:AV5,EM5:FK5)/Parameters!$B$9</f>
        <v>90.984444444444435</v>
      </c>
      <c r="FN5" s="135">
        <f>FL5+FM5</f>
        <v>5127.174444444443</v>
      </c>
      <c r="FO5" s="147">
        <f>DM5*Parameters!$B$3</f>
        <v>85.100000000000009</v>
      </c>
      <c r="FP5" s="141">
        <f>IF(LEFT(G5,3)="KPN",(('Vergoedingen grondslag'!$F$11+'Vergoedingen grondslag'!$I$11+'Vergoedingen grondslag'!$L$11+'Vergoedingen grondslag'!$O$11)*DK5)+('Vergoedingen grondslag'!$O$11*DL5+'Vergoedingen grondslag'!$R$11*0+'Vergoedingen grondslag'!$U$11+'Vergoedingen grondslag'!$X$11)/36,(('Vergoedingen grondslag'!$F$20+'Vergoedingen grondslag'!$I$20+'Vergoedingen grondslag'!$L$20+'Vergoedingen grondslag'!$O$20)*DK5)+('Vergoedingen grondslag'!$O$20*DL5+'Vergoedingen grondslag'!$R$20*0+'Vergoedingen grondslag'!$U$20*0)/36)</f>
        <v>24.164999999999999</v>
      </c>
      <c r="FQ5" s="132"/>
      <c r="FR5" s="156">
        <f>SUM(FO5:FQ5)</f>
        <v>109.26500000000001</v>
      </c>
      <c r="FS5" s="165">
        <f>FN5+FR5</f>
        <v>5236.4394444444433</v>
      </c>
      <c r="FT5" s="167">
        <f t="shared" ref="FT5:FT20" si="1">BL5+FN5-FS5</f>
        <v>3236.21427361111</v>
      </c>
      <c r="FU5" s="144">
        <f t="shared" ref="FU5:FU20" si="2">FT5/(DM5+BD5)</f>
        <v>0.59098142323066294</v>
      </c>
      <c r="FV5" s="119" t="b">
        <f>FT5&lt;0</f>
        <v>0</v>
      </c>
      <c r="FW5" s="331" t="s">
        <v>868</v>
      </c>
    </row>
    <row r="6" spans="2:179" ht="14.4">
      <c r="B6" s="129"/>
      <c r="C6" s="120"/>
      <c r="D6" s="129" t="s">
        <v>643</v>
      </c>
      <c r="E6" s="133" t="s">
        <v>19</v>
      </c>
      <c r="F6" s="133" t="s">
        <v>466</v>
      </c>
      <c r="G6" s="133" t="s">
        <v>9</v>
      </c>
      <c r="H6" s="133" t="s">
        <v>458</v>
      </c>
      <c r="I6" s="133" t="str">
        <f t="shared" ref="I6:I20" si="3">G6&amp;" "&amp;E6&amp;F6&amp;H6</f>
        <v>KPN Zakelijk BelBasisISDN15VVE nieuwe aanleg</v>
      </c>
      <c r="J6" s="120" t="str">
        <f t="shared" ref="J6:J16" si="4">D6&amp;F6&amp;G6</f>
        <v>n2*ISDN15KPN</v>
      </c>
      <c r="K6" s="205">
        <f>INDEX(Facilitietenprofielen!D:D,MATCH($J6,Facilitietenprofielen!$A:$A,0))</f>
        <v>5</v>
      </c>
      <c r="L6" s="206">
        <f>INDEX(Facilitietenprofielen!E:E,MATCH($J6,Facilitietenprofielen!$A:$A,0))</f>
        <v>5</v>
      </c>
      <c r="M6" s="206">
        <f>INDEX(Facilitietenprofielen!F:F,MATCH($J6,Facilitietenprofielen!$A:$A,0))</f>
        <v>5</v>
      </c>
      <c r="N6" s="206">
        <f>INDEX(Facilitietenprofielen!G:G,MATCH($J6,Facilitietenprofielen!$A:$A,0))</f>
        <v>5</v>
      </c>
      <c r="O6" s="206">
        <f>INDEX(Facilitietenprofielen!H:H,MATCH($J6,Facilitietenprofielen!$A:$A,0))</f>
        <v>5</v>
      </c>
      <c r="P6" s="206">
        <f>INDEX(Facilitietenprofielen!I:I,MATCH($J6,Facilitietenprofielen!$A:$A,0))</f>
        <v>5</v>
      </c>
      <c r="Q6" s="206">
        <f>INDEX(Facilitietenprofielen!J:J,MATCH($J6,Facilitietenprofielen!$A:$A,0))</f>
        <v>5</v>
      </c>
      <c r="R6" s="206">
        <f>INDEX(Facilitietenprofielen!K:K,MATCH($J6,Facilitietenprofielen!$A:$A,0))</f>
        <v>5</v>
      </c>
      <c r="S6" s="206">
        <f>INDEX(Facilitietenprofielen!L:L,MATCH($J6,Facilitietenprofielen!$A:$A,0))</f>
        <v>5</v>
      </c>
      <c r="T6" s="206">
        <f>INDEX(Facilitietenprofielen!M:M,MATCH($J6,Facilitietenprofielen!$A:$A,0))</f>
        <v>510</v>
      </c>
      <c r="U6" s="206">
        <f>INDEX(Facilitietenprofielen!N:N,MATCH($J6,Facilitietenprofielen!$A:$A,0))</f>
        <v>102</v>
      </c>
      <c r="V6" s="206">
        <f>INDEX(Facilitietenprofielen!V:V,MATCH($J6,Facilitietenprofielen!$A:$A,0))</f>
        <v>1</v>
      </c>
      <c r="W6" s="206">
        <f>INDEX(Facilitietenprofielen!W:W,MATCH($J6,Facilitietenprofielen!$A:$A,0))</f>
        <v>1</v>
      </c>
      <c r="X6" s="206">
        <f>INDEX(Facilitietenprofielen!O:O,MATCH($J6,Facilitietenprofielen!$A:$A,0))</f>
        <v>1</v>
      </c>
      <c r="Y6" s="206">
        <f>INDEX(Facilitietenprofielen!P:P,MATCH($J6,Facilitietenprofielen!$A:$A,0))</f>
        <v>1</v>
      </c>
      <c r="Z6" s="206">
        <f>INDEX(Facilitietenprofielen!Q:Q,MATCH($J6,Facilitietenprofielen!$A:$A,0))</f>
        <v>1</v>
      </c>
      <c r="AA6" s="206">
        <f>INDEX(Facilitietenprofielen!R:R,MATCH($J6,Facilitietenprofielen!$A:$A,0))</f>
        <v>1</v>
      </c>
      <c r="AB6" s="206">
        <f>INDEX(Facilitietenprofielen!S:S,MATCH($J6,Facilitietenprofielen!$A:$A,0))</f>
        <v>1</v>
      </c>
      <c r="AC6" s="206">
        <f>INDEX(Facilitietenprofielen!T:T,MATCH($J6,Facilitietenprofielen!$A:$A,0))</f>
        <v>1</v>
      </c>
      <c r="AD6" s="206">
        <f>INDEX(Facilitietenprofielen!U:U,MATCH($J6,Facilitietenprofielen!$A:$A,0))</f>
        <v>1</v>
      </c>
      <c r="AE6" s="206">
        <f>INDEX(Facilitietenprofielen!Y:Y,MATCH($J6,Facilitietenprofielen!$A:$A,0))</f>
        <v>1</v>
      </c>
      <c r="AF6" s="206">
        <f>INDEX(Facilitietenprofielen!Z:Z,MATCH($J6,Facilitietenprofielen!$A:$A,0))</f>
        <v>1</v>
      </c>
      <c r="AG6" s="206">
        <f>INDEX(Facilitietenprofielen!AA:AA,MATCH($J6,Facilitietenprofielen!$A:$A,0))</f>
        <v>1</v>
      </c>
      <c r="AH6" s="206">
        <f>INDEX(Facilitietenprofielen!AB:AB,MATCH($J6,Facilitietenprofielen!$A:$A,0))</f>
        <v>1</v>
      </c>
      <c r="AI6" s="206">
        <f>INDEX(Facilitietenprofielen!AC:AC,MATCH($J6,Facilitietenprofielen!$A:$A,0))</f>
        <v>1</v>
      </c>
      <c r="AJ6" s="206">
        <f>INDEX(Facilitietenprofielen!AD:AD,MATCH($J6,Facilitietenprofielen!$A:$A,0))</f>
        <v>1</v>
      </c>
      <c r="AK6" s="206">
        <f>INDEX(Facilitietenprofielen!AE:AE,MATCH($J6,Facilitietenprofielen!$A:$A,0))</f>
        <v>1</v>
      </c>
      <c r="AL6" s="206">
        <f>INDEX(Facilitietenprofielen!AF:AF,MATCH($J6,Facilitietenprofielen!$A:$A,0))</f>
        <v>1</v>
      </c>
      <c r="AM6" s="206">
        <f>INDEX(Facilitietenprofielen!AG:AG,MATCH($J6,Facilitietenprofielen!$A:$A,0))</f>
        <v>1</v>
      </c>
      <c r="AN6" s="206">
        <f>INDEX(Facilitietenprofielen!AH:AH,MATCH($J6,Facilitietenprofielen!$A:$A,0))</f>
        <v>1</v>
      </c>
      <c r="AO6" s="206">
        <f>INDEX(Facilitietenprofielen!AI:AI,MATCH($J6,Facilitietenprofielen!$A:$A,0))</f>
        <v>1</v>
      </c>
      <c r="AP6" s="206">
        <f>INDEX(Facilitietenprofielen!AJ:AJ,MATCH($J6,Facilitietenprofielen!$A:$A,0))</f>
        <v>1</v>
      </c>
      <c r="AQ6" s="206">
        <f>INDEX(Facilitietenprofielen!AK:AK,MATCH($J6,Facilitietenprofielen!$A:$A,0))</f>
        <v>1</v>
      </c>
      <c r="AR6" s="206">
        <f>INDEX(Facilitietenprofielen!AL:AL,MATCH($J6,Facilitietenprofielen!$A:$A,0))</f>
        <v>1</v>
      </c>
      <c r="AS6" s="206">
        <f>INDEX(Facilitietenprofielen!AM:AM,MATCH($J6,Facilitietenprofielen!$A:$A,0))</f>
        <v>1</v>
      </c>
      <c r="AT6" s="206">
        <f>INDEX(Facilitietenprofielen!AN:AN,MATCH($J6,Facilitietenprofielen!$A:$A,0))</f>
        <v>1</v>
      </c>
      <c r="AU6" s="206">
        <f>INDEX(Facilitietenprofielen!AO:AO,MATCH($J6,Facilitietenprofielen!$A:$A,0))</f>
        <v>1</v>
      </c>
      <c r="AV6" s="207">
        <f>INDEX(Facilitietenprofielen!AP:AP,MATCH($J6,Facilitietenprofielen!$A:$A,0))</f>
        <v>1</v>
      </c>
      <c r="AW6" s="206">
        <f>INDEX('Rekenblad Aansluiting'!$O:$O,MATCH($G6&amp;" "&amp;$E6&amp;BE$3&amp;$H6,'Rekenblad Aansluiting'!$A:$A,0))</f>
        <v>102.77777777777777</v>
      </c>
      <c r="AX6" s="206">
        <f>INDEX('Rekenblad Aansluiting'!$O:$O,MATCH($G6&amp;" "&amp;$E6&amp;BF$3&amp;$H6,'Rekenblad Aansluiting'!$A:$A,0))</f>
        <v>102.77777777777777</v>
      </c>
      <c r="AY6" s="206">
        <f>INDEX('Rekenblad Aansluiting'!$O:$O,MATCH($G6&amp;" "&amp;$E6&amp;BG$3&amp;$H6,'Rekenblad Aansluiting'!$A:$A,0))</f>
        <v>102.77777777777777</v>
      </c>
      <c r="AZ6" s="206">
        <f>INDEX('Rekenblad Aansluiting'!$O:$O,MATCH($G6&amp;" "&amp;$E6&amp;BH$3&amp;$H6,'Rekenblad Aansluiting'!$A:$A,0))</f>
        <v>102.77777777777777</v>
      </c>
      <c r="BA6" s="206">
        <f>INDEX('Rekenblad Aansluiting'!$O:$O,MATCH($G6&amp;" "&amp;$E6&amp;BI$3&amp;$H6,'Rekenblad Aansluiting'!$A:$A,0))</f>
        <v>102.77777777777777</v>
      </c>
      <c r="BB6" s="206">
        <f>INDEX('Rekenblad Aansluiting'!$O:$O,MATCH($G6&amp;" "&amp;$E6&amp;BJ$3&amp;$H6,'Rekenblad Aansluiting'!$A:$A,0))</f>
        <v>102.77777777777777</v>
      </c>
      <c r="BC6" s="206">
        <f>INDEX('Rekenblad Aansluiting'!$O:$O,MATCH($G6&amp;" "&amp;$E6&amp;BK$3&amp;$H6,'Rekenblad Aansluiting'!$A:$A,0))</f>
        <v>102.77777777777777</v>
      </c>
      <c r="BD6" s="206">
        <f t="shared" ref="BD6:BD20" si="5">(K6+L6)*AW6+AX6*M6+(N6+O6)*AY6+SUMPRODUCT(AZ6:BC6,P6:S6)</f>
        <v>4625</v>
      </c>
      <c r="BE6" s="212">
        <f>INDEX('Rekenblad Aansluiting'!$X:$X,MATCH($G6&amp;" "&amp;$E6&amp;BE$3&amp;$H6,'Rekenblad Aansluiting'!$A:$A,0))</f>
        <v>77.017966949999987</v>
      </c>
      <c r="BF6" s="213">
        <f>INDEX('Rekenblad Aansluiting'!$X:$X,MATCH($G6&amp;" "&amp;$E6&amp;BF$3&amp;$H6,'Rekenblad Aansluiting'!$A:$A,0))</f>
        <v>77.017966949999987</v>
      </c>
      <c r="BG6" s="213">
        <f>INDEX('Rekenblad Aansluiting'!$X:$X,MATCH($G6&amp;" "&amp;$E6&amp;BG$3&amp;$H6,'Rekenblad Aansluiting'!$A:$A,0))</f>
        <v>77.017966949999987</v>
      </c>
      <c r="BH6" s="213">
        <f>INDEX('Rekenblad Aansluiting'!$X:$X,MATCH($G6&amp;" "&amp;$E6&amp;BH$3&amp;$H6,'Rekenblad Aansluiting'!$A:$A,0))</f>
        <v>65.379043694444434</v>
      </c>
      <c r="BI6" s="213">
        <f>INDEX('Rekenblad Aansluiting'!$X:$X,MATCH($G6&amp;" "&amp;$E6&amp;BI$3&amp;$H6,'Rekenblad Aansluiting'!$A:$A,0))</f>
        <v>65.379043694444434</v>
      </c>
      <c r="BJ6" s="213">
        <f>INDEX('Rekenblad Aansluiting'!$X:$X,MATCH($G6&amp;" "&amp;$E6&amp;BJ$3&amp;$H6,'Rekenblad Aansluiting'!$A:$A,0))</f>
        <v>65.379043694444434</v>
      </c>
      <c r="BK6" s="213">
        <f>INDEX('Rekenblad Aansluiting'!$X:$X,MATCH($G6&amp;" "&amp;$E6&amp;BK$3&amp;$H6,'Rekenblad Aansluiting'!$A:$A,0))</f>
        <v>87.868888888888875</v>
      </c>
      <c r="BL6" s="223">
        <f t="shared" si="0"/>
        <v>3345.4792736111103</v>
      </c>
      <c r="BM6" s="129">
        <f>IF(ISNA(INDEX('Tarieven ZM'!$G:$G,MATCH($G6&amp;BM$3,'Tarieven ZM'!$B:$B,0))),0,INDEX('Tarieven ZM'!$G:$G,MATCH($G6&amp;BM$3,'Tarieven ZM'!$B:$B,0)))</f>
        <v>100</v>
      </c>
      <c r="BN6" s="133">
        <f>IF(ISNA(INDEX('Tarieven ZM'!$G:$G,MATCH($G6&amp;BN$3,'Tarieven ZM'!$B:$B,0))),0,INDEX('Tarieven ZM'!$G:$G,MATCH($G6&amp;BN$3,'Tarieven ZM'!$B:$B,0)))</f>
        <v>100</v>
      </c>
      <c r="BO6" s="133">
        <f>IF(ISNA(INDEX('Tarieven ZM'!$G:$G,MATCH($G6&amp;BO$3,'Tarieven ZM'!$B:$B,0))),0,INDEX('Tarieven ZM'!$G:$G,MATCH($G6&amp;BO$3,'Tarieven ZM'!$B:$B,0)))</f>
        <v>100</v>
      </c>
      <c r="BP6" s="133">
        <f>IF(ISNA(INDEX('Tarieven ZM'!$G:$G,MATCH($G6&amp;BP$3,'Tarieven ZM'!$B:$B,0))),0,INDEX('Tarieven ZM'!$G:$G,MATCH($G6&amp;BP$3,'Tarieven ZM'!$B:$B,0)))</f>
        <v>100</v>
      </c>
      <c r="BQ6" s="133">
        <f>IF(ISNA(INDEX('Tarieven ZM'!$G:$G,MATCH($G6&amp;BQ$3,'Tarieven ZM'!$B:$B,0))),0,INDEX('Tarieven ZM'!$G:$G,MATCH($G6&amp;BQ$3,'Tarieven ZM'!$B:$B,0)))</f>
        <v>100</v>
      </c>
      <c r="BR6" s="133">
        <f>IF(ISNA(INDEX('Tarieven ZM'!$G:$G,MATCH($G6&amp;BR$3,'Tarieven ZM'!$B:$B,0))),0,INDEX('Tarieven ZM'!$G:$G,MATCH($G6&amp;BR$3,'Tarieven ZM'!$B:$B,0)))</f>
        <v>100</v>
      </c>
      <c r="BS6" s="133">
        <f>IF(ISNA(INDEX('Tarieven ZM'!$G:$G,MATCH($G6&amp;BS$3,'Tarieven ZM'!$B:$B,0))),0,INDEX('Tarieven ZM'!$G:$G,MATCH($G6&amp;BS$3,'Tarieven ZM'!$B:$B,0)))</f>
        <v>0</v>
      </c>
      <c r="BT6" s="133">
        <f>IF(ISNA(INDEX('Tarieven ZM'!$G:$G,MATCH($G6&amp;BT$3,'Tarieven ZM'!$B:$B,0))),0,INDEX('Tarieven ZM'!$G:$G,MATCH($G6&amp;BT$3,'Tarieven ZM'!$B:$B,0)))</f>
        <v>0</v>
      </c>
      <c r="BU6" s="133">
        <f>IF(ISNA(INDEX('Tarieven ZM'!$G:$G,MATCH($G6&amp;BU$3,'Tarieven ZM'!$B:$B,0))),0,INDEX('Tarieven ZM'!$G:$G,MATCH($G6&amp;BU$3,'Tarieven ZM'!$B:$B,0)))</f>
        <v>0</v>
      </c>
      <c r="BV6" s="133">
        <f>IF(ISNA(INDEX('Tarieven ZM'!$G:$G,MATCH($G6&amp;BV$3,'Tarieven ZM'!$B:$B,0))),0,INDEX('Tarieven ZM'!$G:$G,MATCH($G6&amp;BV$3,'Tarieven ZM'!$B:$B,0)))</f>
        <v>0</v>
      </c>
      <c r="BW6" s="133">
        <f>IF(ISNA(INDEX('Tarieven ZM'!$G:$G,MATCH($G6&amp;BW$3,'Tarieven ZM'!$B:$B,0))),0,INDEX('Tarieven ZM'!$G:$G,MATCH($G6&amp;BW$3,'Tarieven ZM'!$B:$B,0)))</f>
        <v>0</v>
      </c>
      <c r="BX6" s="133">
        <f>IF(ISNA(INDEX('Tarieven ZM'!$G:$G,MATCH($G6&amp;BX$3,'Tarieven ZM'!$B:$B,0))),0,INDEX('Tarieven ZM'!$G:$G,MATCH($G6&amp;BX$3,'Tarieven ZM'!$B:$B,0)))</f>
        <v>0</v>
      </c>
      <c r="BY6" s="133">
        <f>IF(ISNA(INDEX('Tarieven ZM'!$G:$G,MATCH($G6&amp;BY$3,'Tarieven ZM'!$B:$B,0))),0,INDEX('Tarieven ZM'!$G:$G,MATCH($G6&amp;BY$3,'Tarieven ZM'!$B:$B,0)))</f>
        <v>0</v>
      </c>
      <c r="BZ6" s="133">
        <f>IF(ISNA(INDEX('Tarieven ZM'!$G:$G,MATCH($G6&amp;BZ$3,'Tarieven ZM'!$B:$B,0))),0,INDEX('Tarieven ZM'!$G:$G,MATCH($G6&amp;BZ$3,'Tarieven ZM'!$B:$B,0)))</f>
        <v>0</v>
      </c>
      <c r="CA6" s="133">
        <f>IF(ISNA(INDEX('Tarieven ZM'!$G:$G,MATCH($G6&amp;CA$3,'Tarieven ZM'!$B:$B,0))),0,INDEX('Tarieven ZM'!$G:$G,MATCH($G6&amp;CA$3,'Tarieven ZM'!$B:$B,0)))</f>
        <v>0</v>
      </c>
      <c r="CB6" s="133">
        <f>IF(ISNA(INDEX('Tarieven ZM'!$G:$G,MATCH($G6&amp;CB$3,'Tarieven ZM'!$B:$B,0))),0,INDEX('Tarieven ZM'!$G:$G,MATCH($G6&amp;CB$3,'Tarieven ZM'!$B:$B,0)))</f>
        <v>0</v>
      </c>
      <c r="CC6" s="133">
        <f>IF(ISNA(INDEX('Tarieven ZM'!$G:$G,MATCH($G6&amp;CC$3,'Tarieven ZM'!$B:$B,0))),0,INDEX('Tarieven ZM'!$G:$G,MATCH($G6&amp;CC$3,'Tarieven ZM'!$B:$B,0)))</f>
        <v>0</v>
      </c>
      <c r="CD6" s="133">
        <f>IF(ISNA(INDEX('Tarieven ZM'!$G:$G,MATCH($G6&amp;CD$3,'Tarieven ZM'!$B:$B,0))),0,INDEX('Tarieven ZM'!$G:$G,MATCH($G6&amp;CD$3,'Tarieven ZM'!$B:$B,0)))</f>
        <v>0</v>
      </c>
      <c r="CE6" s="133">
        <f>IF(ISNA(INDEX('Tarieven ZM'!$G:$G,MATCH($G6&amp;CE$3,'Tarieven ZM'!$B:$B,0))),0,INDEX('Tarieven ZM'!$G:$G,MATCH($G6&amp;CE$3,'Tarieven ZM'!$B:$B,0)))</f>
        <v>0</v>
      </c>
      <c r="CF6" s="133">
        <f>IF(ISNA(INDEX('Tarieven ZM'!$G:$G,MATCH($G6&amp;CF$3,'Tarieven ZM'!$B:$B,0))),0,INDEX('Tarieven ZM'!$G:$G,MATCH($G6&amp;CF$3,'Tarieven ZM'!$B:$B,0)))</f>
        <v>0</v>
      </c>
      <c r="CG6" s="133">
        <f>IF(ISNA(INDEX('Tarieven ZM'!$G:$G,MATCH($G6&amp;CG$3,'Tarieven ZM'!$B:$B,0))),0,INDEX('Tarieven ZM'!$G:$G,MATCH($G6&amp;CG$3,'Tarieven ZM'!$B:$B,0)))</f>
        <v>0</v>
      </c>
      <c r="CH6" s="133">
        <f>IF(ISNA(INDEX('Tarieven ZM'!$G:$G,MATCH($G6&amp;CH$3,'Tarieven ZM'!$B:$B,0))),0,INDEX('Tarieven ZM'!$G:$G,MATCH($G6&amp;CH$3,'Tarieven ZM'!$B:$B,0)))</f>
        <v>0</v>
      </c>
      <c r="CI6" s="133">
        <f>IF(ISNA(INDEX('Tarieven ZM'!$G:$G,MATCH($G6&amp;CI$3,'Tarieven ZM'!$B:$B,0))),0,INDEX('Tarieven ZM'!$G:$G,MATCH($G6&amp;CI$3,'Tarieven ZM'!$B:$B,0)))</f>
        <v>0</v>
      </c>
      <c r="CJ6" s="133">
        <f>IF(ISNA(INDEX('Tarieven ZM'!$G:$G,MATCH($G6&amp;CJ$3,'Tarieven ZM'!$B:$B,0))),0,INDEX('Tarieven ZM'!$G:$G,MATCH($G6&amp;CJ$3,'Tarieven ZM'!$B:$B,0)))</f>
        <v>0</v>
      </c>
      <c r="CK6" s="120">
        <f>IF(ISNA(INDEX('Tarieven ZM'!$G:$G,MATCH($G6&amp;CK$3,'Tarieven ZM'!$B:$B,0))),0,INDEX('Tarieven ZM'!$G:$G,MATCH($G6&amp;CK$3,'Tarieven ZM'!$B:$B,0)))</f>
        <v>0</v>
      </c>
      <c r="CL6" s="129">
        <f>IF(ISNA(INDEX('Tarieven ZM'!$H:$H,MATCH($G6&amp;CL$3,'Tarieven ZM'!$B:$B,0))),0,INDEX('Tarieven ZM'!$H:$H,MATCH($G6&amp;CL$3,'Tarieven ZM'!$B:$B,0)))</f>
        <v>1000</v>
      </c>
      <c r="CM6" s="133">
        <f>IF(ISNA(INDEX('Tarieven ZM'!$H:$H,MATCH($G6&amp;CM$3,'Tarieven ZM'!$B:$B,0))),0,INDEX('Tarieven ZM'!$H:$H,MATCH($G6&amp;CM$3,'Tarieven ZM'!$B:$B,0)))</f>
        <v>1000</v>
      </c>
      <c r="CN6" s="133">
        <f>IF(ISNA(INDEX('Tarieven ZM'!$H:$H,MATCH($G6&amp;CN$3,'Tarieven ZM'!$B:$B,0))),0,INDEX('Tarieven ZM'!$H:$H,MATCH($G6&amp;CN$3,'Tarieven ZM'!$B:$B,0)))</f>
        <v>1000</v>
      </c>
      <c r="CO6" s="133">
        <f>IF(ISNA(INDEX('Tarieven ZM'!$H:$H,MATCH($G6&amp;CO$3,'Tarieven ZM'!$B:$B,0))),0,INDEX('Tarieven ZM'!$H:$H,MATCH($G6&amp;CO$3,'Tarieven ZM'!$B:$B,0)))</f>
        <v>1000</v>
      </c>
      <c r="CP6" s="133">
        <f>IF(ISNA(INDEX('Tarieven ZM'!$H:$H,MATCH($G6&amp;CP$3,'Tarieven ZM'!$B:$B,0))),0,INDEX('Tarieven ZM'!$H:$H,MATCH($G6&amp;CP$3,'Tarieven ZM'!$B:$B,0)))</f>
        <v>1000</v>
      </c>
      <c r="CQ6" s="133">
        <f>IF(ISNA(INDEX('Tarieven ZM'!$H:$H,MATCH($G6&amp;CQ$3,'Tarieven ZM'!$B:$B,0))),0,INDEX('Tarieven ZM'!$H:$H,MATCH($G6&amp;CQ$3,'Tarieven ZM'!$B:$B,0)))</f>
        <v>1000</v>
      </c>
      <c r="CR6" s="133">
        <f>IF(ISNA(INDEX('Tarieven ZM'!$H:$H,MATCH($G6&amp;CR$3,'Tarieven ZM'!$B:$B,0))),0,INDEX('Tarieven ZM'!$H:$H,MATCH($G6&amp;CR$3,'Tarieven ZM'!$B:$B,0)))</f>
        <v>1000</v>
      </c>
      <c r="CS6" s="133">
        <f>IF(ISNA(INDEX('Tarieven ZM'!$H:$H,MATCH($G6&amp;CS$3,'Tarieven ZM'!$B:$B,0))),0,INDEX('Tarieven ZM'!$H:$H,MATCH($G6&amp;CS$3,'Tarieven ZM'!$B:$B,0)))</f>
        <v>0</v>
      </c>
      <c r="CT6" s="133">
        <f>IF(ISNA(INDEX('Tarieven ZM'!$H:$H,MATCH($G6&amp;CT$3,'Tarieven ZM'!$B:$B,0))),0,INDEX('Tarieven ZM'!$H:$H,MATCH($G6&amp;CT$3,'Tarieven ZM'!$B:$B,0)))</f>
        <v>0</v>
      </c>
      <c r="CU6" s="133">
        <f>IF(ISNA(INDEX('Tarieven ZM'!$H:$H,MATCH($G6&amp;CU$3,'Tarieven ZM'!$B:$B,0))),0,INDEX('Tarieven ZM'!$H:$H,MATCH($G6&amp;CU$3,'Tarieven ZM'!$B:$B,0)))</f>
        <v>0</v>
      </c>
      <c r="CV6" s="133">
        <f>IF(ISNA(INDEX('Tarieven ZM'!$H:$H,MATCH($G6&amp;CV$3,'Tarieven ZM'!$B:$B,0))),0,INDEX('Tarieven ZM'!$H:$H,MATCH($G6&amp;CV$3,'Tarieven ZM'!$B:$B,0)))</f>
        <v>0</v>
      </c>
      <c r="CW6" s="133">
        <f>IF(ISNA(INDEX('Tarieven ZM'!$H:$H,MATCH($G6&amp;CW$3,'Tarieven ZM'!$B:$B,0))),0,INDEX('Tarieven ZM'!$H:$H,MATCH($G6&amp;CW$3,'Tarieven ZM'!$B:$B,0)))</f>
        <v>0</v>
      </c>
      <c r="CX6" s="133">
        <f>IF(ISNA(INDEX('Tarieven ZM'!$H:$H,MATCH($G6&amp;CX$3,'Tarieven ZM'!$B:$B,0))),0,INDEX('Tarieven ZM'!$H:$H,MATCH($G6&amp;CX$3,'Tarieven ZM'!$B:$B,0)))</f>
        <v>0</v>
      </c>
      <c r="CY6" s="133">
        <f>IF(ISNA(INDEX('Tarieven ZM'!$H:$H,MATCH($G6&amp;CY$3,'Tarieven ZM'!$B:$B,0))),0,INDEX('Tarieven ZM'!$H:$H,MATCH($G6&amp;CY$3,'Tarieven ZM'!$B:$B,0)))</f>
        <v>0</v>
      </c>
      <c r="CZ6" s="133">
        <f>IF(ISNA(INDEX('Tarieven ZM'!$H:$H,MATCH($G6&amp;CZ$3,'Tarieven ZM'!$B:$B,0))),0,INDEX('Tarieven ZM'!$H:$H,MATCH($G6&amp;CZ$3,'Tarieven ZM'!$B:$B,0)))</f>
        <v>0</v>
      </c>
      <c r="DA6" s="133">
        <f>IF(ISNA(INDEX('Tarieven ZM'!$H:$H,MATCH($G6&amp;DA$3,'Tarieven ZM'!$B:$B,0))),0,INDEX('Tarieven ZM'!$H:$H,MATCH($G6&amp;DA$3,'Tarieven ZM'!$B:$B,0)))</f>
        <v>0</v>
      </c>
      <c r="DB6" s="133">
        <f>IF(ISNA(INDEX('Tarieven ZM'!$H:$H,MATCH($G6&amp;DB$3,'Tarieven ZM'!$B:$B,0))),0,INDEX('Tarieven ZM'!$H:$H,MATCH($G6&amp;DB$3,'Tarieven ZM'!$B:$B,0)))</f>
        <v>0</v>
      </c>
      <c r="DC6" s="133">
        <f>IF(ISNA(INDEX('Tarieven ZM'!$H:$H,MATCH($G6&amp;DC$3,'Tarieven ZM'!$B:$B,0))),0,INDEX('Tarieven ZM'!$H:$H,MATCH($G6&amp;DC$3,'Tarieven ZM'!$B:$B,0)))</f>
        <v>0</v>
      </c>
      <c r="DD6" s="133">
        <f>IF(ISNA(INDEX('Tarieven ZM'!$H:$H,MATCH($G6&amp;DD$3,'Tarieven ZM'!$B:$B,0))),0,INDEX('Tarieven ZM'!$H:$H,MATCH($G6&amp;DD$3,'Tarieven ZM'!$B:$B,0)))</f>
        <v>1000</v>
      </c>
      <c r="DE6" s="133">
        <f>IF(ISNA(INDEX('Tarieven ZM'!$H:$H,MATCH($G6&amp;DE$3,'Tarieven ZM'!$B:$B,0))),0,INDEX('Tarieven ZM'!$H:$H,MATCH($G6&amp;DE$3,'Tarieven ZM'!$B:$B,0)))</f>
        <v>0</v>
      </c>
      <c r="DF6" s="133">
        <f>IF(ISNA(INDEX('Tarieven ZM'!$H:$H,MATCH($G6&amp;DF$3,'Tarieven ZM'!$B:$B,0))),0,INDEX('Tarieven ZM'!$H:$H,MATCH($G6&amp;DF$3,'Tarieven ZM'!$B:$B,0)))</f>
        <v>0</v>
      </c>
      <c r="DG6" s="133">
        <f>IF(ISNA(INDEX('Tarieven ZM'!$H:$H,MATCH($G6&amp;DG$3,'Tarieven ZM'!$B:$B,0))),0,INDEX('Tarieven ZM'!$H:$H,MATCH($G6&amp;DG$3,'Tarieven ZM'!$B:$B,0)))</f>
        <v>0</v>
      </c>
      <c r="DH6" s="133">
        <f>IF(ISNA(INDEX('Tarieven ZM'!$H:$H,MATCH($G6&amp;DH$3,'Tarieven ZM'!$B:$B,0))),0,INDEX('Tarieven ZM'!$H:$H,MATCH($G6&amp;DH$3,'Tarieven ZM'!$B:$B,0)))</f>
        <v>0</v>
      </c>
      <c r="DI6" s="133">
        <f>IF(ISNA(INDEX('Tarieven ZM'!$H:$H,MATCH($G6&amp;DI$3,'Tarieven ZM'!$B:$B,0))),0,INDEX('Tarieven ZM'!$H:$H,MATCH($G6&amp;DI$3,'Tarieven ZM'!$B:$B,0)))</f>
        <v>0</v>
      </c>
      <c r="DJ6" s="120">
        <f>IF(ISNA(INDEX('Tarieven ZM'!$H:$H,MATCH($G6&amp;DJ$3,'Tarieven ZM'!$B:$B,0))),0,INDEX('Tarieven ZM'!$H:$H,MATCH($G6&amp;DJ$3,'Tarieven ZM'!$B:$B,0)))</f>
        <v>1000</v>
      </c>
      <c r="DK6" s="212">
        <f t="shared" ref="DK6:DK20" si="6">SUMPRODUCT($X6:$AV6,BM6:CK6)+V6</f>
        <v>601</v>
      </c>
      <c r="DL6" s="142">
        <f>SUMPRODUCT($X6:$AV6,CL6:DJ6)/Parameters!$B$9</f>
        <v>250</v>
      </c>
      <c r="DM6" s="157">
        <f t="shared" ref="DM6:DM20" si="7">DK6+DL6</f>
        <v>851</v>
      </c>
      <c r="DN6" s="129">
        <f>INDEX(WLR!$J:$J,MATCH(DN$4,WLR!$A:$A,0))</f>
        <v>10.39</v>
      </c>
      <c r="DO6" s="133">
        <f>INDEX(WLR!$J:$J,MATCH(DO$4,WLR!$A:$A,0))</f>
        <v>10.39</v>
      </c>
      <c r="DP6" s="133">
        <f>INDEX(WLR!$J:$J,MATCH(DP$4,WLR!$A:$A,0))</f>
        <v>62.94</v>
      </c>
      <c r="DQ6" s="133">
        <f>INDEX(WLR!$J:$J,MATCH(DQ$4,WLR!$A:$A,0))</f>
        <v>62.94</v>
      </c>
      <c r="DR6" s="133">
        <f>INDEX(WLR!$J:$J,MATCH(DR$4,WLR!$A:$A,0))</f>
        <v>494.44</v>
      </c>
      <c r="DS6" s="133">
        <f>INDEX(WLR!$J:$J,MATCH(DS$4,WLR!$A:$A,0))</f>
        <v>494.44</v>
      </c>
      <c r="DT6" s="133">
        <f>INDEX(WLR!$J:$J,MATCH(DT$4,WLR!$A:$A,0))</f>
        <v>3510.28</v>
      </c>
      <c r="DU6" s="133">
        <f>INDEX(WLR!$J:$J,MATCH(DU$4,WLR!$A:$A,0))</f>
        <v>1.19</v>
      </c>
      <c r="DV6" s="133">
        <f>INDEX(WLR!$J:$J,MATCH(DV$4,WLR!$A:$A,0))</f>
        <v>29.43</v>
      </c>
      <c r="DW6" s="133">
        <f>INDEX(WLR!$J:$J,MATCH(DW$4,WLR!$A:$A,0))</f>
        <v>192.45</v>
      </c>
      <c r="DX6" s="133">
        <f>INDEX(WLR!$J:$J,MATCH(DX$4,WLR!$A:$A,0))</f>
        <v>9.8000000000000007</v>
      </c>
      <c r="DY6" s="133">
        <f>INDEX(WLR!$J:$J,MATCH(DY$4,WLR!$A:$A,0))</f>
        <v>34.950000000000003</v>
      </c>
      <c r="DZ6" s="133">
        <f>INDEX(WLR!$J:$J,MATCH(DZ$4,WLR!$A:$A,0))</f>
        <v>34.950000000000003</v>
      </c>
      <c r="EA6" s="133">
        <f>INDEX(WLR!$J:$J,MATCH(EA$4,WLR!$A:$A,0))</f>
        <v>2.08</v>
      </c>
      <c r="EB6" s="133">
        <f>INDEX(WLR!$J:$J,MATCH(EB$4,WLR!$A:$A,0))</f>
        <v>1.97</v>
      </c>
      <c r="EC6" s="133">
        <f>INDEX(WLR!$J:$J,MATCH(EC$4,WLR!$A:$A,0))</f>
        <v>1.97</v>
      </c>
      <c r="ED6" s="133">
        <f>INDEX(WLR!$J:$J,MATCH(ED$4,WLR!$A:$A,0))</f>
        <v>0</v>
      </c>
      <c r="EE6" s="133">
        <f>INDEX(WLR!$J:$J,MATCH(EE$4,WLR!$A:$A,0))</f>
        <v>0</v>
      </c>
      <c r="EF6" s="133">
        <f>INDEX(WLR!$J:$J,MATCH(EF$4,WLR!$A:$A,0))</f>
        <v>0.96</v>
      </c>
      <c r="EG6" s="133">
        <f>INDEX(WLR!$J:$J,MATCH(EG$4,WLR!$A:$A,0))</f>
        <v>4.53</v>
      </c>
      <c r="EH6" s="133">
        <f>INDEX(WLR!$J:$J,MATCH(EH$4,WLR!$A:$A,0))</f>
        <v>4.53</v>
      </c>
      <c r="EI6" s="133">
        <f>INDEX(WLR!$J:$J,MATCH(EI$4,WLR!$A:$A,0))</f>
        <v>7.58</v>
      </c>
      <c r="EJ6" s="133">
        <f>INDEX(WLR!$J:$J,MATCH(EJ$4,WLR!$A:$A,0))</f>
        <v>31.11</v>
      </c>
      <c r="EK6" s="133">
        <f>INDEX(WLR!$J:$J,MATCH(EK$4,WLR!$A:$A,0))</f>
        <v>31.11</v>
      </c>
      <c r="EL6" s="120">
        <f>INDEX(WLR!$J:$J,MATCH(EL$4,WLR!$A:$A,0))</f>
        <v>0.96</v>
      </c>
      <c r="EM6" s="129">
        <f>INDEX(WLR!$I:$I,MATCH(EM$4,WLR!$A:$A,0))</f>
        <v>0</v>
      </c>
      <c r="EN6" s="133">
        <f>INDEX(WLR!$I:$I,MATCH(EN$4,WLR!$A:$A,0))</f>
        <v>16.21</v>
      </c>
      <c r="EO6" s="133">
        <f>INDEX(WLR!$I:$I,MATCH(EO$4,WLR!$A:$A,0))</f>
        <v>0</v>
      </c>
      <c r="EP6" s="133">
        <f>INDEX(WLR!$I:$I,MATCH(EP$4,WLR!$A:$A,0))</f>
        <v>16.21</v>
      </c>
      <c r="EQ6" s="133">
        <f>INDEX(WLR!$I:$I,MATCH(EQ$4,WLR!$A:$A,0))</f>
        <v>0</v>
      </c>
      <c r="ER6" s="133">
        <f>INDEX(WLR!$I:$I,MATCH(ER$4,WLR!$A:$A,0))</f>
        <v>16.21</v>
      </c>
      <c r="ES6" s="133">
        <f>INDEX(WLR!$I:$I,MATCH(ES$4,WLR!$A:$A,0))</f>
        <v>0</v>
      </c>
      <c r="ET6" s="133">
        <f>INDEX(WLR!$I:$I,MATCH(ET$4,WLR!$A:$A,0))</f>
        <v>82.82</v>
      </c>
      <c r="EU6" s="133">
        <f>INDEX(WLR!$I:$I,MATCH(EU$4,WLR!$A:$A,0))</f>
        <v>748.42</v>
      </c>
      <c r="EV6" s="133">
        <f>INDEX(WLR!$I:$I,MATCH(EV$4,WLR!$A:$A,0))</f>
        <v>1282.99</v>
      </c>
      <c r="EW6" s="133">
        <f>INDEX(WLR!$I:$I,MATCH(EW$4,WLR!$A:$A,0))</f>
        <v>16.21</v>
      </c>
      <c r="EX6" s="133">
        <f>INDEX(WLR!$I:$I,MATCH(EX$4,WLR!$A:$A,0))</f>
        <v>79.94</v>
      </c>
      <c r="EY6" s="133">
        <f>INDEX(WLR!$I:$I,MATCH(EY$4,WLR!$A:$A,0))</f>
        <v>839.48</v>
      </c>
      <c r="EZ6" s="133">
        <f>INDEX(WLR!$I:$I,MATCH(EZ$4,WLR!$A:$A,0))</f>
        <v>32.950000000000003</v>
      </c>
      <c r="FA6" s="133">
        <f>INDEX(WLR!$I:$I,MATCH(FA$4,WLR!$A:$A,0))</f>
        <v>16.21</v>
      </c>
      <c r="FB6" s="133">
        <f>INDEX(WLR!$I:$I,MATCH(FB$4,WLR!$A:$A,0))</f>
        <v>16.21</v>
      </c>
      <c r="FC6" s="133">
        <f>INDEX(WLR!$I:$I,MATCH(FC$4,WLR!$A:$A,0))</f>
        <v>0</v>
      </c>
      <c r="FD6" s="133">
        <f>INDEX(WLR!$I:$I,MATCH(FD$4,WLR!$A:$A,0))</f>
        <v>15.73</v>
      </c>
      <c r="FE6" s="133">
        <f>INDEX(WLR!$I:$I,MATCH(FE$4,WLR!$A:$A,0))</f>
        <v>0</v>
      </c>
      <c r="FF6" s="133">
        <f>INDEX(WLR!$I:$I,MATCH(FF$4,WLR!$A:$A,0))</f>
        <v>0</v>
      </c>
      <c r="FG6" s="133">
        <f>INDEX(WLR!$I:$I,MATCH(FG$4,WLR!$A:$A,0))</f>
        <v>0</v>
      </c>
      <c r="FH6" s="133">
        <f>INDEX(WLR!$I:$I,MATCH(FH$4,WLR!$A:$A,0))</f>
        <v>15.73</v>
      </c>
      <c r="FI6" s="133">
        <f>INDEX(WLR!$I:$I,MATCH(FI$4,WLR!$A:$A,0))</f>
        <v>40.06</v>
      </c>
      <c r="FJ6" s="133">
        <f>INDEX(WLR!$I:$I,MATCH(FJ$4,WLR!$A:$A,0))</f>
        <v>40.06</v>
      </c>
      <c r="FK6" s="120">
        <f>INDEX(WLR!$I:$I,MATCH(FK$4,WLR!$A:$A,0))</f>
        <v>0</v>
      </c>
      <c r="FL6" s="168">
        <f>SUMPRODUCT(X6:AV6,DN6:EL6)+V6*(1-Parameters!$B$52)</f>
        <v>5036.1899999999987</v>
      </c>
      <c r="FM6" s="213">
        <f>SUMPRODUCT(X6:AV6,EM6:FK6)/Parameters!$B$9</f>
        <v>90.984444444444435</v>
      </c>
      <c r="FN6" s="136">
        <f t="shared" ref="FN6:FN20" si="8">FL6+FM6</f>
        <v>5127.174444444443</v>
      </c>
      <c r="FO6" s="148">
        <f>DM6*Parameters!$B$3</f>
        <v>85.100000000000009</v>
      </c>
      <c r="FP6" s="142">
        <f>IF(LEFT(G6,3)="KPN",(('Vergoedingen grondslag'!$F$11+'Vergoedingen grondslag'!$I$11+'Vergoedingen grondslag'!$L$11+'Vergoedingen grondslag'!$O$11)*DK6)+('Vergoedingen grondslag'!$O$11*DL6+'Vergoedingen grondslag'!$R$11*0+'Vergoedingen grondslag'!$U$11+'Vergoedingen grondslag'!$X$11)/36,(('Vergoedingen grondslag'!$F$20+'Vergoedingen grondslag'!$I$20+'Vergoedingen grondslag'!$L$20+'Vergoedingen grondslag'!$O$20)*DK6)+('Vergoedingen grondslag'!$O$20*DL6+'Vergoedingen grondslag'!$R$20*0+'Vergoedingen grondslag'!$U$20*0)/36)</f>
        <v>24.164999999999999</v>
      </c>
      <c r="FQ6" s="133"/>
      <c r="FR6" s="157">
        <f t="shared" ref="FR6:FR20" si="9">SUM(FO6:FQ6)</f>
        <v>109.26500000000001</v>
      </c>
      <c r="FS6" s="166">
        <f t="shared" ref="FS6:FS20" si="10">FN6+FR6</f>
        <v>5236.4394444444433</v>
      </c>
      <c r="FT6" s="168">
        <f t="shared" si="1"/>
        <v>3236.21427361111</v>
      </c>
      <c r="FU6" s="145">
        <f t="shared" si="2"/>
        <v>0.59098142323066294</v>
      </c>
      <c r="FV6" s="120" t="b">
        <f t="shared" ref="FV6:FV20" si="11">FT6&lt;0</f>
        <v>0</v>
      </c>
      <c r="FW6" s="331" t="s">
        <v>868</v>
      </c>
    </row>
    <row r="7" spans="2:179" ht="14.4">
      <c r="B7" s="129"/>
      <c r="C7" s="120"/>
      <c r="D7" s="129" t="s">
        <v>644</v>
      </c>
      <c r="E7" s="133" t="s">
        <v>19</v>
      </c>
      <c r="F7" s="133" t="s">
        <v>468</v>
      </c>
      <c r="G7" s="133" t="s">
        <v>9</v>
      </c>
      <c r="H7" s="133" t="s">
        <v>458</v>
      </c>
      <c r="I7" s="133" t="str">
        <f t="shared" si="3"/>
        <v>KPN Zakelijk BelBasisISDN20VVE nieuwe aanleg</v>
      </c>
      <c r="J7" s="120" t="str">
        <f t="shared" si="4"/>
        <v>n3*ISDN20KPN</v>
      </c>
      <c r="K7" s="205">
        <f>INDEX(Facilitietenprofielen!D:D,MATCH($J7,Facilitietenprofielen!$A:$A,0))</f>
        <v>5</v>
      </c>
      <c r="L7" s="206">
        <f>INDEX(Facilitietenprofielen!E:E,MATCH($J7,Facilitietenprofielen!$A:$A,0))</f>
        <v>5</v>
      </c>
      <c r="M7" s="206">
        <f>INDEX(Facilitietenprofielen!F:F,MATCH($J7,Facilitietenprofielen!$A:$A,0))</f>
        <v>5</v>
      </c>
      <c r="N7" s="206">
        <f>INDEX(Facilitietenprofielen!G:G,MATCH($J7,Facilitietenprofielen!$A:$A,0))</f>
        <v>5</v>
      </c>
      <c r="O7" s="206">
        <f>INDEX(Facilitietenprofielen!H:H,MATCH($J7,Facilitietenprofielen!$A:$A,0))</f>
        <v>5</v>
      </c>
      <c r="P7" s="206">
        <f>INDEX(Facilitietenprofielen!I:I,MATCH($J7,Facilitietenprofielen!$A:$A,0))</f>
        <v>5</v>
      </c>
      <c r="Q7" s="206">
        <f>INDEX(Facilitietenprofielen!J:J,MATCH($J7,Facilitietenprofielen!$A:$A,0))</f>
        <v>5</v>
      </c>
      <c r="R7" s="206">
        <f>INDEX(Facilitietenprofielen!K:K,MATCH($J7,Facilitietenprofielen!$A:$A,0))</f>
        <v>5</v>
      </c>
      <c r="S7" s="206">
        <f>INDEX(Facilitietenprofielen!L:L,MATCH($J7,Facilitietenprofielen!$A:$A,0))</f>
        <v>5</v>
      </c>
      <c r="T7" s="206">
        <f>INDEX(Facilitietenprofielen!M:M,MATCH($J7,Facilitietenprofielen!$A:$A,0))</f>
        <v>510</v>
      </c>
      <c r="U7" s="206">
        <f>INDEX(Facilitietenprofielen!N:N,MATCH($J7,Facilitietenprofielen!$A:$A,0))</f>
        <v>102</v>
      </c>
      <c r="V7" s="206">
        <f>INDEX(Facilitietenprofielen!V:V,MATCH($J7,Facilitietenprofielen!$A:$A,0))</f>
        <v>1</v>
      </c>
      <c r="W7" s="206">
        <f>INDEX(Facilitietenprofielen!W:W,MATCH($J7,Facilitietenprofielen!$A:$A,0))</f>
        <v>1</v>
      </c>
      <c r="X7" s="206">
        <f>INDEX(Facilitietenprofielen!O:O,MATCH($J7,Facilitietenprofielen!$A:$A,0))</f>
        <v>1</v>
      </c>
      <c r="Y7" s="206">
        <f>INDEX(Facilitietenprofielen!P:P,MATCH($J7,Facilitietenprofielen!$A:$A,0))</f>
        <v>1</v>
      </c>
      <c r="Z7" s="206">
        <f>INDEX(Facilitietenprofielen!Q:Q,MATCH($J7,Facilitietenprofielen!$A:$A,0))</f>
        <v>1</v>
      </c>
      <c r="AA7" s="206">
        <f>INDEX(Facilitietenprofielen!R:R,MATCH($J7,Facilitietenprofielen!$A:$A,0))</f>
        <v>1</v>
      </c>
      <c r="AB7" s="206">
        <f>INDEX(Facilitietenprofielen!S:S,MATCH($J7,Facilitietenprofielen!$A:$A,0))</f>
        <v>1</v>
      </c>
      <c r="AC7" s="206">
        <f>INDEX(Facilitietenprofielen!T:T,MATCH($J7,Facilitietenprofielen!$A:$A,0))</f>
        <v>1</v>
      </c>
      <c r="AD7" s="206">
        <f>INDEX(Facilitietenprofielen!U:U,MATCH($J7,Facilitietenprofielen!$A:$A,0))</f>
        <v>1</v>
      </c>
      <c r="AE7" s="206">
        <f>INDEX(Facilitietenprofielen!Y:Y,MATCH($J7,Facilitietenprofielen!$A:$A,0))</f>
        <v>1</v>
      </c>
      <c r="AF7" s="206">
        <f>INDEX(Facilitietenprofielen!Z:Z,MATCH($J7,Facilitietenprofielen!$A:$A,0))</f>
        <v>1</v>
      </c>
      <c r="AG7" s="206">
        <f>INDEX(Facilitietenprofielen!AA:AA,MATCH($J7,Facilitietenprofielen!$A:$A,0))</f>
        <v>1</v>
      </c>
      <c r="AH7" s="206">
        <f>INDEX(Facilitietenprofielen!AB:AB,MATCH($J7,Facilitietenprofielen!$A:$A,0))</f>
        <v>1</v>
      </c>
      <c r="AI7" s="206">
        <f>INDEX(Facilitietenprofielen!AC:AC,MATCH($J7,Facilitietenprofielen!$A:$A,0))</f>
        <v>1</v>
      </c>
      <c r="AJ7" s="206">
        <f>INDEX(Facilitietenprofielen!AD:AD,MATCH($J7,Facilitietenprofielen!$A:$A,0))</f>
        <v>1</v>
      </c>
      <c r="AK7" s="206">
        <f>INDEX(Facilitietenprofielen!AE:AE,MATCH($J7,Facilitietenprofielen!$A:$A,0))</f>
        <v>1</v>
      </c>
      <c r="AL7" s="206">
        <f>INDEX(Facilitietenprofielen!AF:AF,MATCH($J7,Facilitietenprofielen!$A:$A,0))</f>
        <v>1</v>
      </c>
      <c r="AM7" s="206">
        <f>INDEX(Facilitietenprofielen!AG:AG,MATCH($J7,Facilitietenprofielen!$A:$A,0))</f>
        <v>1</v>
      </c>
      <c r="AN7" s="206">
        <f>INDEX(Facilitietenprofielen!AH:AH,MATCH($J7,Facilitietenprofielen!$A:$A,0))</f>
        <v>1</v>
      </c>
      <c r="AO7" s="206">
        <f>INDEX(Facilitietenprofielen!AI:AI,MATCH($J7,Facilitietenprofielen!$A:$A,0))</f>
        <v>1</v>
      </c>
      <c r="AP7" s="206">
        <f>INDEX(Facilitietenprofielen!AJ:AJ,MATCH($J7,Facilitietenprofielen!$A:$A,0))</f>
        <v>1</v>
      </c>
      <c r="AQ7" s="206">
        <f>INDEX(Facilitietenprofielen!AK:AK,MATCH($J7,Facilitietenprofielen!$A:$A,0))</f>
        <v>1</v>
      </c>
      <c r="AR7" s="206">
        <f>INDEX(Facilitietenprofielen!AL:AL,MATCH($J7,Facilitietenprofielen!$A:$A,0))</f>
        <v>1</v>
      </c>
      <c r="AS7" s="206">
        <f>INDEX(Facilitietenprofielen!AM:AM,MATCH($J7,Facilitietenprofielen!$A:$A,0))</f>
        <v>1</v>
      </c>
      <c r="AT7" s="206">
        <f>INDEX(Facilitietenprofielen!AN:AN,MATCH($J7,Facilitietenprofielen!$A:$A,0))</f>
        <v>1</v>
      </c>
      <c r="AU7" s="206">
        <f>INDEX(Facilitietenprofielen!AO:AO,MATCH($J7,Facilitietenprofielen!$A:$A,0))</f>
        <v>1</v>
      </c>
      <c r="AV7" s="207">
        <f>INDEX(Facilitietenprofielen!AP:AP,MATCH($J7,Facilitietenprofielen!$A:$A,0))</f>
        <v>1</v>
      </c>
      <c r="AW7" s="206">
        <f>INDEX('Rekenblad Aansluiting'!$O:$O,MATCH($G7&amp;" "&amp;$E7&amp;BE$3&amp;$H7,'Rekenblad Aansluiting'!$A:$A,0))</f>
        <v>102.77777777777777</v>
      </c>
      <c r="AX7" s="206">
        <f>INDEX('Rekenblad Aansluiting'!$O:$O,MATCH($G7&amp;" "&amp;$E7&amp;BF$3&amp;$H7,'Rekenblad Aansluiting'!$A:$A,0))</f>
        <v>102.77777777777777</v>
      </c>
      <c r="AY7" s="206">
        <f>INDEX('Rekenblad Aansluiting'!$O:$O,MATCH($G7&amp;" "&amp;$E7&amp;BG$3&amp;$H7,'Rekenblad Aansluiting'!$A:$A,0))</f>
        <v>102.77777777777777</v>
      </c>
      <c r="AZ7" s="206">
        <f>INDEX('Rekenblad Aansluiting'!$O:$O,MATCH($G7&amp;" "&amp;$E7&amp;BH$3&amp;$H7,'Rekenblad Aansluiting'!$A:$A,0))</f>
        <v>102.77777777777777</v>
      </c>
      <c r="BA7" s="206">
        <f>INDEX('Rekenblad Aansluiting'!$O:$O,MATCH($G7&amp;" "&amp;$E7&amp;BI$3&amp;$H7,'Rekenblad Aansluiting'!$A:$A,0))</f>
        <v>102.77777777777777</v>
      </c>
      <c r="BB7" s="206">
        <f>INDEX('Rekenblad Aansluiting'!$O:$O,MATCH($G7&amp;" "&amp;$E7&amp;BJ$3&amp;$H7,'Rekenblad Aansluiting'!$A:$A,0))</f>
        <v>102.77777777777777</v>
      </c>
      <c r="BC7" s="206">
        <f>INDEX('Rekenblad Aansluiting'!$O:$O,MATCH($G7&amp;" "&amp;$E7&amp;BK$3&amp;$H7,'Rekenblad Aansluiting'!$A:$A,0))</f>
        <v>102.77777777777777</v>
      </c>
      <c r="BD7" s="206">
        <f t="shared" si="5"/>
        <v>4625</v>
      </c>
      <c r="BE7" s="212">
        <f>INDEX('Rekenblad Aansluiting'!$X:$X,MATCH($G7&amp;" "&amp;$E7&amp;BE$3&amp;$H7,'Rekenblad Aansluiting'!$A:$A,0))</f>
        <v>77.017966949999987</v>
      </c>
      <c r="BF7" s="213">
        <f>INDEX('Rekenblad Aansluiting'!$X:$X,MATCH($G7&amp;" "&amp;$E7&amp;BF$3&amp;$H7,'Rekenblad Aansluiting'!$A:$A,0))</f>
        <v>77.017966949999987</v>
      </c>
      <c r="BG7" s="213">
        <f>INDEX('Rekenblad Aansluiting'!$X:$X,MATCH($G7&amp;" "&amp;$E7&amp;BG$3&amp;$H7,'Rekenblad Aansluiting'!$A:$A,0))</f>
        <v>77.017966949999987</v>
      </c>
      <c r="BH7" s="213">
        <f>INDEX('Rekenblad Aansluiting'!$X:$X,MATCH($G7&amp;" "&amp;$E7&amp;BH$3&amp;$H7,'Rekenblad Aansluiting'!$A:$A,0))</f>
        <v>65.379043694444434</v>
      </c>
      <c r="BI7" s="213">
        <f>INDEX('Rekenblad Aansluiting'!$X:$X,MATCH($G7&amp;" "&amp;$E7&amp;BI$3&amp;$H7,'Rekenblad Aansluiting'!$A:$A,0))</f>
        <v>65.379043694444434</v>
      </c>
      <c r="BJ7" s="213">
        <f>INDEX('Rekenblad Aansluiting'!$X:$X,MATCH($G7&amp;" "&amp;$E7&amp;BJ$3&amp;$H7,'Rekenblad Aansluiting'!$A:$A,0))</f>
        <v>65.379043694444434</v>
      </c>
      <c r="BK7" s="213">
        <f>INDEX('Rekenblad Aansluiting'!$X:$X,MATCH($G7&amp;" "&amp;$E7&amp;BK$3&amp;$H7,'Rekenblad Aansluiting'!$A:$A,0))</f>
        <v>87.868888888888875</v>
      </c>
      <c r="BL7" s="223">
        <f t="shared" si="0"/>
        <v>3345.4792736111103</v>
      </c>
      <c r="BM7" s="129">
        <f>IF(ISNA(INDEX('Tarieven ZM'!$G:$G,MATCH($G7&amp;BM$3,'Tarieven ZM'!$B:$B,0))),0,INDEX('Tarieven ZM'!$G:$G,MATCH($G7&amp;BM$3,'Tarieven ZM'!$B:$B,0)))</f>
        <v>100</v>
      </c>
      <c r="BN7" s="133">
        <f>IF(ISNA(INDEX('Tarieven ZM'!$G:$G,MATCH($G7&amp;BN$3,'Tarieven ZM'!$B:$B,0))),0,INDEX('Tarieven ZM'!$G:$G,MATCH($G7&amp;BN$3,'Tarieven ZM'!$B:$B,0)))</f>
        <v>100</v>
      </c>
      <c r="BO7" s="133">
        <f>IF(ISNA(INDEX('Tarieven ZM'!$G:$G,MATCH($G7&amp;BO$3,'Tarieven ZM'!$B:$B,0))),0,INDEX('Tarieven ZM'!$G:$G,MATCH($G7&amp;BO$3,'Tarieven ZM'!$B:$B,0)))</f>
        <v>100</v>
      </c>
      <c r="BP7" s="133">
        <f>IF(ISNA(INDEX('Tarieven ZM'!$G:$G,MATCH($G7&amp;BP$3,'Tarieven ZM'!$B:$B,0))),0,INDEX('Tarieven ZM'!$G:$G,MATCH($G7&amp;BP$3,'Tarieven ZM'!$B:$B,0)))</f>
        <v>100</v>
      </c>
      <c r="BQ7" s="133">
        <f>IF(ISNA(INDEX('Tarieven ZM'!$G:$G,MATCH($G7&amp;BQ$3,'Tarieven ZM'!$B:$B,0))),0,INDEX('Tarieven ZM'!$G:$G,MATCH($G7&amp;BQ$3,'Tarieven ZM'!$B:$B,0)))</f>
        <v>100</v>
      </c>
      <c r="BR7" s="133">
        <f>IF(ISNA(INDEX('Tarieven ZM'!$G:$G,MATCH($G7&amp;BR$3,'Tarieven ZM'!$B:$B,0))),0,INDEX('Tarieven ZM'!$G:$G,MATCH($G7&amp;BR$3,'Tarieven ZM'!$B:$B,0)))</f>
        <v>100</v>
      </c>
      <c r="BS7" s="133">
        <f>IF(ISNA(INDEX('Tarieven ZM'!$G:$G,MATCH($G7&amp;BS$3,'Tarieven ZM'!$B:$B,0))),0,INDEX('Tarieven ZM'!$G:$G,MATCH($G7&amp;BS$3,'Tarieven ZM'!$B:$B,0)))</f>
        <v>0</v>
      </c>
      <c r="BT7" s="133">
        <f>IF(ISNA(INDEX('Tarieven ZM'!$G:$G,MATCH($G7&amp;BT$3,'Tarieven ZM'!$B:$B,0))),0,INDEX('Tarieven ZM'!$G:$G,MATCH($G7&amp;BT$3,'Tarieven ZM'!$B:$B,0)))</f>
        <v>0</v>
      </c>
      <c r="BU7" s="133">
        <f>IF(ISNA(INDEX('Tarieven ZM'!$G:$G,MATCH($G7&amp;BU$3,'Tarieven ZM'!$B:$B,0))),0,INDEX('Tarieven ZM'!$G:$G,MATCH($G7&amp;BU$3,'Tarieven ZM'!$B:$B,0)))</f>
        <v>0</v>
      </c>
      <c r="BV7" s="133">
        <f>IF(ISNA(INDEX('Tarieven ZM'!$G:$G,MATCH($G7&amp;BV$3,'Tarieven ZM'!$B:$B,0))),0,INDEX('Tarieven ZM'!$G:$G,MATCH($G7&amp;BV$3,'Tarieven ZM'!$B:$B,0)))</f>
        <v>0</v>
      </c>
      <c r="BW7" s="133">
        <f>IF(ISNA(INDEX('Tarieven ZM'!$G:$G,MATCH($G7&amp;BW$3,'Tarieven ZM'!$B:$B,0))),0,INDEX('Tarieven ZM'!$G:$G,MATCH($G7&amp;BW$3,'Tarieven ZM'!$B:$B,0)))</f>
        <v>0</v>
      </c>
      <c r="BX7" s="133">
        <f>IF(ISNA(INDEX('Tarieven ZM'!$G:$G,MATCH($G7&amp;BX$3,'Tarieven ZM'!$B:$B,0))),0,INDEX('Tarieven ZM'!$G:$G,MATCH($G7&amp;BX$3,'Tarieven ZM'!$B:$B,0)))</f>
        <v>0</v>
      </c>
      <c r="BY7" s="133">
        <f>IF(ISNA(INDEX('Tarieven ZM'!$G:$G,MATCH($G7&amp;BY$3,'Tarieven ZM'!$B:$B,0))),0,INDEX('Tarieven ZM'!$G:$G,MATCH($G7&amp;BY$3,'Tarieven ZM'!$B:$B,0)))</f>
        <v>0</v>
      </c>
      <c r="BZ7" s="133">
        <f>IF(ISNA(INDEX('Tarieven ZM'!$G:$G,MATCH($G7&amp;BZ$3,'Tarieven ZM'!$B:$B,0))),0,INDEX('Tarieven ZM'!$G:$G,MATCH($G7&amp;BZ$3,'Tarieven ZM'!$B:$B,0)))</f>
        <v>0</v>
      </c>
      <c r="CA7" s="133">
        <f>IF(ISNA(INDEX('Tarieven ZM'!$G:$G,MATCH($G7&amp;CA$3,'Tarieven ZM'!$B:$B,0))),0,INDEX('Tarieven ZM'!$G:$G,MATCH($G7&amp;CA$3,'Tarieven ZM'!$B:$B,0)))</f>
        <v>0</v>
      </c>
      <c r="CB7" s="133">
        <f>IF(ISNA(INDEX('Tarieven ZM'!$G:$G,MATCH($G7&amp;CB$3,'Tarieven ZM'!$B:$B,0))),0,INDEX('Tarieven ZM'!$G:$G,MATCH($G7&amp;CB$3,'Tarieven ZM'!$B:$B,0)))</f>
        <v>0</v>
      </c>
      <c r="CC7" s="133">
        <f>IF(ISNA(INDEX('Tarieven ZM'!$G:$G,MATCH($G7&amp;CC$3,'Tarieven ZM'!$B:$B,0))),0,INDEX('Tarieven ZM'!$G:$G,MATCH($G7&amp;CC$3,'Tarieven ZM'!$B:$B,0)))</f>
        <v>0</v>
      </c>
      <c r="CD7" s="133">
        <f>IF(ISNA(INDEX('Tarieven ZM'!$G:$G,MATCH($G7&amp;CD$3,'Tarieven ZM'!$B:$B,0))),0,INDEX('Tarieven ZM'!$G:$G,MATCH($G7&amp;CD$3,'Tarieven ZM'!$B:$B,0)))</f>
        <v>0</v>
      </c>
      <c r="CE7" s="133">
        <f>IF(ISNA(INDEX('Tarieven ZM'!$G:$G,MATCH($G7&amp;CE$3,'Tarieven ZM'!$B:$B,0))),0,INDEX('Tarieven ZM'!$G:$G,MATCH($G7&amp;CE$3,'Tarieven ZM'!$B:$B,0)))</f>
        <v>0</v>
      </c>
      <c r="CF7" s="133">
        <f>IF(ISNA(INDEX('Tarieven ZM'!$G:$G,MATCH($G7&amp;CF$3,'Tarieven ZM'!$B:$B,0))),0,INDEX('Tarieven ZM'!$G:$G,MATCH($G7&amp;CF$3,'Tarieven ZM'!$B:$B,0)))</f>
        <v>0</v>
      </c>
      <c r="CG7" s="133">
        <f>IF(ISNA(INDEX('Tarieven ZM'!$G:$G,MATCH($G7&amp;CG$3,'Tarieven ZM'!$B:$B,0))),0,INDEX('Tarieven ZM'!$G:$G,MATCH($G7&amp;CG$3,'Tarieven ZM'!$B:$B,0)))</f>
        <v>0</v>
      </c>
      <c r="CH7" s="133">
        <f>IF(ISNA(INDEX('Tarieven ZM'!$G:$G,MATCH($G7&amp;CH$3,'Tarieven ZM'!$B:$B,0))),0,INDEX('Tarieven ZM'!$G:$G,MATCH($G7&amp;CH$3,'Tarieven ZM'!$B:$B,0)))</f>
        <v>0</v>
      </c>
      <c r="CI7" s="133">
        <f>IF(ISNA(INDEX('Tarieven ZM'!$G:$G,MATCH($G7&amp;CI$3,'Tarieven ZM'!$B:$B,0))),0,INDEX('Tarieven ZM'!$G:$G,MATCH($G7&amp;CI$3,'Tarieven ZM'!$B:$B,0)))</f>
        <v>0</v>
      </c>
      <c r="CJ7" s="133">
        <f>IF(ISNA(INDEX('Tarieven ZM'!$G:$G,MATCH($G7&amp;CJ$3,'Tarieven ZM'!$B:$B,0))),0,INDEX('Tarieven ZM'!$G:$G,MATCH($G7&amp;CJ$3,'Tarieven ZM'!$B:$B,0)))</f>
        <v>0</v>
      </c>
      <c r="CK7" s="120">
        <f>IF(ISNA(INDEX('Tarieven ZM'!$G:$G,MATCH($G7&amp;CK$3,'Tarieven ZM'!$B:$B,0))),0,INDEX('Tarieven ZM'!$G:$G,MATCH($G7&amp;CK$3,'Tarieven ZM'!$B:$B,0)))</f>
        <v>0</v>
      </c>
      <c r="CL7" s="129">
        <f>IF(ISNA(INDEX('Tarieven ZM'!$H:$H,MATCH($G7&amp;CL$3,'Tarieven ZM'!$B:$B,0))),0,INDEX('Tarieven ZM'!$H:$H,MATCH($G7&amp;CL$3,'Tarieven ZM'!$B:$B,0)))</f>
        <v>1000</v>
      </c>
      <c r="CM7" s="133">
        <f>IF(ISNA(INDEX('Tarieven ZM'!$H:$H,MATCH($G7&amp;CM$3,'Tarieven ZM'!$B:$B,0))),0,INDEX('Tarieven ZM'!$H:$H,MATCH($G7&amp;CM$3,'Tarieven ZM'!$B:$B,0)))</f>
        <v>1000</v>
      </c>
      <c r="CN7" s="133">
        <f>IF(ISNA(INDEX('Tarieven ZM'!$H:$H,MATCH($G7&amp;CN$3,'Tarieven ZM'!$B:$B,0))),0,INDEX('Tarieven ZM'!$H:$H,MATCH($G7&amp;CN$3,'Tarieven ZM'!$B:$B,0)))</f>
        <v>1000</v>
      </c>
      <c r="CO7" s="133">
        <f>IF(ISNA(INDEX('Tarieven ZM'!$H:$H,MATCH($G7&amp;CO$3,'Tarieven ZM'!$B:$B,0))),0,INDEX('Tarieven ZM'!$H:$H,MATCH($G7&amp;CO$3,'Tarieven ZM'!$B:$B,0)))</f>
        <v>1000</v>
      </c>
      <c r="CP7" s="133">
        <f>IF(ISNA(INDEX('Tarieven ZM'!$H:$H,MATCH($G7&amp;CP$3,'Tarieven ZM'!$B:$B,0))),0,INDEX('Tarieven ZM'!$H:$H,MATCH($G7&amp;CP$3,'Tarieven ZM'!$B:$B,0)))</f>
        <v>1000</v>
      </c>
      <c r="CQ7" s="133">
        <f>IF(ISNA(INDEX('Tarieven ZM'!$H:$H,MATCH($G7&amp;CQ$3,'Tarieven ZM'!$B:$B,0))),0,INDEX('Tarieven ZM'!$H:$H,MATCH($G7&amp;CQ$3,'Tarieven ZM'!$B:$B,0)))</f>
        <v>1000</v>
      </c>
      <c r="CR7" s="133">
        <f>IF(ISNA(INDEX('Tarieven ZM'!$H:$H,MATCH($G7&amp;CR$3,'Tarieven ZM'!$B:$B,0))),0,INDEX('Tarieven ZM'!$H:$H,MATCH($G7&amp;CR$3,'Tarieven ZM'!$B:$B,0)))</f>
        <v>1000</v>
      </c>
      <c r="CS7" s="133">
        <f>IF(ISNA(INDEX('Tarieven ZM'!$H:$H,MATCH($G7&amp;CS$3,'Tarieven ZM'!$B:$B,0))),0,INDEX('Tarieven ZM'!$H:$H,MATCH($G7&amp;CS$3,'Tarieven ZM'!$B:$B,0)))</f>
        <v>0</v>
      </c>
      <c r="CT7" s="133">
        <f>IF(ISNA(INDEX('Tarieven ZM'!$H:$H,MATCH($G7&amp;CT$3,'Tarieven ZM'!$B:$B,0))),0,INDEX('Tarieven ZM'!$H:$H,MATCH($G7&amp;CT$3,'Tarieven ZM'!$B:$B,0)))</f>
        <v>0</v>
      </c>
      <c r="CU7" s="133">
        <f>IF(ISNA(INDEX('Tarieven ZM'!$H:$H,MATCH($G7&amp;CU$3,'Tarieven ZM'!$B:$B,0))),0,INDEX('Tarieven ZM'!$H:$H,MATCH($G7&amp;CU$3,'Tarieven ZM'!$B:$B,0)))</f>
        <v>0</v>
      </c>
      <c r="CV7" s="133">
        <f>IF(ISNA(INDEX('Tarieven ZM'!$H:$H,MATCH($G7&amp;CV$3,'Tarieven ZM'!$B:$B,0))),0,INDEX('Tarieven ZM'!$H:$H,MATCH($G7&amp;CV$3,'Tarieven ZM'!$B:$B,0)))</f>
        <v>0</v>
      </c>
      <c r="CW7" s="133">
        <f>IF(ISNA(INDEX('Tarieven ZM'!$H:$H,MATCH($G7&amp;CW$3,'Tarieven ZM'!$B:$B,0))),0,INDEX('Tarieven ZM'!$H:$H,MATCH($G7&amp;CW$3,'Tarieven ZM'!$B:$B,0)))</f>
        <v>0</v>
      </c>
      <c r="CX7" s="133">
        <f>IF(ISNA(INDEX('Tarieven ZM'!$H:$H,MATCH($G7&amp;CX$3,'Tarieven ZM'!$B:$B,0))),0,INDEX('Tarieven ZM'!$H:$H,MATCH($G7&amp;CX$3,'Tarieven ZM'!$B:$B,0)))</f>
        <v>0</v>
      </c>
      <c r="CY7" s="133">
        <f>IF(ISNA(INDEX('Tarieven ZM'!$H:$H,MATCH($G7&amp;CY$3,'Tarieven ZM'!$B:$B,0))),0,INDEX('Tarieven ZM'!$H:$H,MATCH($G7&amp;CY$3,'Tarieven ZM'!$B:$B,0)))</f>
        <v>0</v>
      </c>
      <c r="CZ7" s="133">
        <f>IF(ISNA(INDEX('Tarieven ZM'!$H:$H,MATCH($G7&amp;CZ$3,'Tarieven ZM'!$B:$B,0))),0,INDEX('Tarieven ZM'!$H:$H,MATCH($G7&amp;CZ$3,'Tarieven ZM'!$B:$B,0)))</f>
        <v>0</v>
      </c>
      <c r="DA7" s="133">
        <f>IF(ISNA(INDEX('Tarieven ZM'!$H:$H,MATCH($G7&amp;DA$3,'Tarieven ZM'!$B:$B,0))),0,INDEX('Tarieven ZM'!$H:$H,MATCH($G7&amp;DA$3,'Tarieven ZM'!$B:$B,0)))</f>
        <v>0</v>
      </c>
      <c r="DB7" s="133">
        <f>IF(ISNA(INDEX('Tarieven ZM'!$H:$H,MATCH($G7&amp;DB$3,'Tarieven ZM'!$B:$B,0))),0,INDEX('Tarieven ZM'!$H:$H,MATCH($G7&amp;DB$3,'Tarieven ZM'!$B:$B,0)))</f>
        <v>0</v>
      </c>
      <c r="DC7" s="133">
        <f>IF(ISNA(INDEX('Tarieven ZM'!$H:$H,MATCH($G7&amp;DC$3,'Tarieven ZM'!$B:$B,0))),0,INDEX('Tarieven ZM'!$H:$H,MATCH($G7&amp;DC$3,'Tarieven ZM'!$B:$B,0)))</f>
        <v>0</v>
      </c>
      <c r="DD7" s="133">
        <f>IF(ISNA(INDEX('Tarieven ZM'!$H:$H,MATCH($G7&amp;DD$3,'Tarieven ZM'!$B:$B,0))),0,INDEX('Tarieven ZM'!$H:$H,MATCH($G7&amp;DD$3,'Tarieven ZM'!$B:$B,0)))</f>
        <v>1000</v>
      </c>
      <c r="DE7" s="133">
        <f>IF(ISNA(INDEX('Tarieven ZM'!$H:$H,MATCH($G7&amp;DE$3,'Tarieven ZM'!$B:$B,0))),0,INDEX('Tarieven ZM'!$H:$H,MATCH($G7&amp;DE$3,'Tarieven ZM'!$B:$B,0)))</f>
        <v>0</v>
      </c>
      <c r="DF7" s="133">
        <f>IF(ISNA(INDEX('Tarieven ZM'!$H:$H,MATCH($G7&amp;DF$3,'Tarieven ZM'!$B:$B,0))),0,INDEX('Tarieven ZM'!$H:$H,MATCH($G7&amp;DF$3,'Tarieven ZM'!$B:$B,0)))</f>
        <v>0</v>
      </c>
      <c r="DG7" s="133">
        <f>IF(ISNA(INDEX('Tarieven ZM'!$H:$H,MATCH($G7&amp;DG$3,'Tarieven ZM'!$B:$B,0))),0,INDEX('Tarieven ZM'!$H:$H,MATCH($G7&amp;DG$3,'Tarieven ZM'!$B:$B,0)))</f>
        <v>0</v>
      </c>
      <c r="DH7" s="133">
        <f>IF(ISNA(INDEX('Tarieven ZM'!$H:$H,MATCH($G7&amp;DH$3,'Tarieven ZM'!$B:$B,0))),0,INDEX('Tarieven ZM'!$H:$H,MATCH($G7&amp;DH$3,'Tarieven ZM'!$B:$B,0)))</f>
        <v>0</v>
      </c>
      <c r="DI7" s="133">
        <f>IF(ISNA(INDEX('Tarieven ZM'!$H:$H,MATCH($G7&amp;DI$3,'Tarieven ZM'!$B:$B,0))),0,INDEX('Tarieven ZM'!$H:$H,MATCH($G7&amp;DI$3,'Tarieven ZM'!$B:$B,0)))</f>
        <v>0</v>
      </c>
      <c r="DJ7" s="120">
        <f>IF(ISNA(INDEX('Tarieven ZM'!$H:$H,MATCH($G7&amp;DJ$3,'Tarieven ZM'!$B:$B,0))),0,INDEX('Tarieven ZM'!$H:$H,MATCH($G7&amp;DJ$3,'Tarieven ZM'!$B:$B,0)))</f>
        <v>1000</v>
      </c>
      <c r="DK7" s="212">
        <f t="shared" si="6"/>
        <v>601</v>
      </c>
      <c r="DL7" s="142">
        <f>SUMPRODUCT($X7:$AV7,CL7:DJ7)/Parameters!$B$9</f>
        <v>250</v>
      </c>
      <c r="DM7" s="157">
        <f t="shared" si="7"/>
        <v>851</v>
      </c>
      <c r="DN7" s="129">
        <f>INDEX(WLR!$J:$J,MATCH(DN$4,WLR!$A:$A,0))</f>
        <v>10.39</v>
      </c>
      <c r="DO7" s="133">
        <f>INDEX(WLR!$J:$J,MATCH(DO$4,WLR!$A:$A,0))</f>
        <v>10.39</v>
      </c>
      <c r="DP7" s="133">
        <f>INDEX(WLR!$J:$J,MATCH(DP$4,WLR!$A:$A,0))</f>
        <v>62.94</v>
      </c>
      <c r="DQ7" s="133">
        <f>INDEX(WLR!$J:$J,MATCH(DQ$4,WLR!$A:$A,0))</f>
        <v>62.94</v>
      </c>
      <c r="DR7" s="133">
        <f>INDEX(WLR!$J:$J,MATCH(DR$4,WLR!$A:$A,0))</f>
        <v>494.44</v>
      </c>
      <c r="DS7" s="133">
        <f>INDEX(WLR!$J:$J,MATCH(DS$4,WLR!$A:$A,0))</f>
        <v>494.44</v>
      </c>
      <c r="DT7" s="133">
        <f>INDEX(WLR!$J:$J,MATCH(DT$4,WLR!$A:$A,0))</f>
        <v>3510.28</v>
      </c>
      <c r="DU7" s="133">
        <f>INDEX(WLR!$J:$J,MATCH(DU$4,WLR!$A:$A,0))</f>
        <v>1.19</v>
      </c>
      <c r="DV7" s="133">
        <f>INDEX(WLR!$J:$J,MATCH(DV$4,WLR!$A:$A,0))</f>
        <v>29.43</v>
      </c>
      <c r="DW7" s="133">
        <f>INDEX(WLR!$J:$J,MATCH(DW$4,WLR!$A:$A,0))</f>
        <v>192.45</v>
      </c>
      <c r="DX7" s="133">
        <f>INDEX(WLR!$J:$J,MATCH(DX$4,WLR!$A:$A,0))</f>
        <v>9.8000000000000007</v>
      </c>
      <c r="DY7" s="133">
        <f>INDEX(WLR!$J:$J,MATCH(DY$4,WLR!$A:$A,0))</f>
        <v>34.950000000000003</v>
      </c>
      <c r="DZ7" s="133">
        <f>INDEX(WLR!$J:$J,MATCH(DZ$4,WLR!$A:$A,0))</f>
        <v>34.950000000000003</v>
      </c>
      <c r="EA7" s="133">
        <f>INDEX(WLR!$J:$J,MATCH(EA$4,WLR!$A:$A,0))</f>
        <v>2.08</v>
      </c>
      <c r="EB7" s="133">
        <f>INDEX(WLR!$J:$J,MATCH(EB$4,WLR!$A:$A,0))</f>
        <v>1.97</v>
      </c>
      <c r="EC7" s="133">
        <f>INDEX(WLR!$J:$J,MATCH(EC$4,WLR!$A:$A,0))</f>
        <v>1.97</v>
      </c>
      <c r="ED7" s="133">
        <f>INDEX(WLR!$J:$J,MATCH(ED$4,WLR!$A:$A,0))</f>
        <v>0</v>
      </c>
      <c r="EE7" s="133">
        <f>INDEX(WLR!$J:$J,MATCH(EE$4,WLR!$A:$A,0))</f>
        <v>0</v>
      </c>
      <c r="EF7" s="133">
        <f>INDEX(WLR!$J:$J,MATCH(EF$4,WLR!$A:$A,0))</f>
        <v>0.96</v>
      </c>
      <c r="EG7" s="133">
        <f>INDEX(WLR!$J:$J,MATCH(EG$4,WLR!$A:$A,0))</f>
        <v>4.53</v>
      </c>
      <c r="EH7" s="133">
        <f>INDEX(WLR!$J:$J,MATCH(EH$4,WLR!$A:$A,0))</f>
        <v>4.53</v>
      </c>
      <c r="EI7" s="133">
        <f>INDEX(WLR!$J:$J,MATCH(EI$4,WLR!$A:$A,0))</f>
        <v>7.58</v>
      </c>
      <c r="EJ7" s="133">
        <f>INDEX(WLR!$J:$J,MATCH(EJ$4,WLR!$A:$A,0))</f>
        <v>31.11</v>
      </c>
      <c r="EK7" s="133">
        <f>INDEX(WLR!$J:$J,MATCH(EK$4,WLR!$A:$A,0))</f>
        <v>31.11</v>
      </c>
      <c r="EL7" s="120">
        <f>INDEX(WLR!$J:$J,MATCH(EL$4,WLR!$A:$A,0))</f>
        <v>0.96</v>
      </c>
      <c r="EM7" s="129">
        <f>INDEX(WLR!$I:$I,MATCH(EM$4,WLR!$A:$A,0))</f>
        <v>0</v>
      </c>
      <c r="EN7" s="133">
        <f>INDEX(WLR!$I:$I,MATCH(EN$4,WLR!$A:$A,0))</f>
        <v>16.21</v>
      </c>
      <c r="EO7" s="133">
        <f>INDEX(WLR!$I:$I,MATCH(EO$4,WLR!$A:$A,0))</f>
        <v>0</v>
      </c>
      <c r="EP7" s="133">
        <f>INDEX(WLR!$I:$I,MATCH(EP$4,WLR!$A:$A,0))</f>
        <v>16.21</v>
      </c>
      <c r="EQ7" s="133">
        <f>INDEX(WLR!$I:$I,MATCH(EQ$4,WLR!$A:$A,0))</f>
        <v>0</v>
      </c>
      <c r="ER7" s="133">
        <f>INDEX(WLR!$I:$I,MATCH(ER$4,WLR!$A:$A,0))</f>
        <v>16.21</v>
      </c>
      <c r="ES7" s="133">
        <f>INDEX(WLR!$I:$I,MATCH(ES$4,WLR!$A:$A,0))</f>
        <v>0</v>
      </c>
      <c r="ET7" s="133">
        <f>INDEX(WLR!$I:$I,MATCH(ET$4,WLR!$A:$A,0))</f>
        <v>82.82</v>
      </c>
      <c r="EU7" s="133">
        <f>INDEX(WLR!$I:$I,MATCH(EU$4,WLR!$A:$A,0))</f>
        <v>748.42</v>
      </c>
      <c r="EV7" s="133">
        <f>INDEX(WLR!$I:$I,MATCH(EV$4,WLR!$A:$A,0))</f>
        <v>1282.99</v>
      </c>
      <c r="EW7" s="133">
        <f>INDEX(WLR!$I:$I,MATCH(EW$4,WLR!$A:$A,0))</f>
        <v>16.21</v>
      </c>
      <c r="EX7" s="133">
        <f>INDEX(WLR!$I:$I,MATCH(EX$4,WLR!$A:$A,0))</f>
        <v>79.94</v>
      </c>
      <c r="EY7" s="133">
        <f>INDEX(WLR!$I:$I,MATCH(EY$4,WLR!$A:$A,0))</f>
        <v>839.48</v>
      </c>
      <c r="EZ7" s="133">
        <f>INDEX(WLR!$I:$I,MATCH(EZ$4,WLR!$A:$A,0))</f>
        <v>32.950000000000003</v>
      </c>
      <c r="FA7" s="133">
        <f>INDEX(WLR!$I:$I,MATCH(FA$4,WLR!$A:$A,0))</f>
        <v>16.21</v>
      </c>
      <c r="FB7" s="133">
        <f>INDEX(WLR!$I:$I,MATCH(FB$4,WLR!$A:$A,0))</f>
        <v>16.21</v>
      </c>
      <c r="FC7" s="133">
        <f>INDEX(WLR!$I:$I,MATCH(FC$4,WLR!$A:$A,0))</f>
        <v>0</v>
      </c>
      <c r="FD7" s="133">
        <f>INDEX(WLR!$I:$I,MATCH(FD$4,WLR!$A:$A,0))</f>
        <v>15.73</v>
      </c>
      <c r="FE7" s="133">
        <f>INDEX(WLR!$I:$I,MATCH(FE$4,WLR!$A:$A,0))</f>
        <v>0</v>
      </c>
      <c r="FF7" s="133">
        <f>INDEX(WLR!$I:$I,MATCH(FF$4,WLR!$A:$A,0))</f>
        <v>0</v>
      </c>
      <c r="FG7" s="133">
        <f>INDEX(WLR!$I:$I,MATCH(FG$4,WLR!$A:$A,0))</f>
        <v>0</v>
      </c>
      <c r="FH7" s="133">
        <f>INDEX(WLR!$I:$I,MATCH(FH$4,WLR!$A:$A,0))</f>
        <v>15.73</v>
      </c>
      <c r="FI7" s="133">
        <f>INDEX(WLR!$I:$I,MATCH(FI$4,WLR!$A:$A,0))</f>
        <v>40.06</v>
      </c>
      <c r="FJ7" s="133">
        <f>INDEX(WLR!$I:$I,MATCH(FJ$4,WLR!$A:$A,0))</f>
        <v>40.06</v>
      </c>
      <c r="FK7" s="120">
        <f>INDEX(WLR!$I:$I,MATCH(FK$4,WLR!$A:$A,0))</f>
        <v>0</v>
      </c>
      <c r="FL7" s="168">
        <f>SUMPRODUCT(X7:AV7,DN7:EL7)+V7*(1-Parameters!$B$52)</f>
        <v>5036.1899999999987</v>
      </c>
      <c r="FM7" s="213">
        <f>SUMPRODUCT(X7:AV7,EM7:FK7)/Parameters!$B$9</f>
        <v>90.984444444444435</v>
      </c>
      <c r="FN7" s="136">
        <f t="shared" si="8"/>
        <v>5127.174444444443</v>
      </c>
      <c r="FO7" s="148">
        <f>DM7*Parameters!$B$3</f>
        <v>85.100000000000009</v>
      </c>
      <c r="FP7" s="142">
        <f>IF(LEFT(G7,3)="KPN",(('Vergoedingen grondslag'!$F$11+'Vergoedingen grondslag'!$I$11+'Vergoedingen grondslag'!$L$11+'Vergoedingen grondslag'!$O$11)*DK7)+('Vergoedingen grondslag'!$O$11*DL7+'Vergoedingen grondslag'!$R$11*0+'Vergoedingen grondslag'!$U$11+'Vergoedingen grondslag'!$X$11)/36,(('Vergoedingen grondslag'!$F$20+'Vergoedingen grondslag'!$I$20+'Vergoedingen grondslag'!$L$20+'Vergoedingen grondslag'!$O$20)*DK7)+('Vergoedingen grondslag'!$O$20*DL7+'Vergoedingen grondslag'!$R$20*0+'Vergoedingen grondslag'!$U$20*0)/36)</f>
        <v>24.164999999999999</v>
      </c>
      <c r="FQ7" s="133"/>
      <c r="FR7" s="157">
        <f t="shared" si="9"/>
        <v>109.26500000000001</v>
      </c>
      <c r="FS7" s="166">
        <f t="shared" si="10"/>
        <v>5236.4394444444433</v>
      </c>
      <c r="FT7" s="168">
        <f t="shared" si="1"/>
        <v>3236.21427361111</v>
      </c>
      <c r="FU7" s="145">
        <f t="shared" si="2"/>
        <v>0.59098142323066294</v>
      </c>
      <c r="FV7" s="120" t="b">
        <f t="shared" si="11"/>
        <v>0</v>
      </c>
      <c r="FW7" s="331" t="s">
        <v>868</v>
      </c>
    </row>
    <row r="8" spans="2:179" ht="14.4">
      <c r="B8" s="129"/>
      <c r="C8" s="120"/>
      <c r="D8" s="129" t="s">
        <v>645</v>
      </c>
      <c r="E8" s="133" t="s">
        <v>19</v>
      </c>
      <c r="F8" s="133" t="s">
        <v>469</v>
      </c>
      <c r="G8" s="133" t="s">
        <v>9</v>
      </c>
      <c r="H8" s="133" t="s">
        <v>458</v>
      </c>
      <c r="I8" s="133" t="str">
        <f t="shared" si="3"/>
        <v>KPN Zakelijk BelBasisISDN30VVE nieuwe aanleg</v>
      </c>
      <c r="J8" s="120" t="str">
        <f t="shared" si="4"/>
        <v>n4*ISDN30KPN</v>
      </c>
      <c r="K8" s="205">
        <f>INDEX(Facilitietenprofielen!D:D,MATCH($J8,Facilitietenprofielen!$A:$A,0))</f>
        <v>5</v>
      </c>
      <c r="L8" s="206">
        <f>INDEX(Facilitietenprofielen!E:E,MATCH($J8,Facilitietenprofielen!$A:$A,0))</f>
        <v>5</v>
      </c>
      <c r="M8" s="206">
        <f>INDEX(Facilitietenprofielen!F:F,MATCH($J8,Facilitietenprofielen!$A:$A,0))</f>
        <v>5</v>
      </c>
      <c r="N8" s="206">
        <f>INDEX(Facilitietenprofielen!G:G,MATCH($J8,Facilitietenprofielen!$A:$A,0))</f>
        <v>5</v>
      </c>
      <c r="O8" s="206">
        <f>INDEX(Facilitietenprofielen!H:H,MATCH($J8,Facilitietenprofielen!$A:$A,0))</f>
        <v>5</v>
      </c>
      <c r="P8" s="206">
        <f>INDEX(Facilitietenprofielen!I:I,MATCH($J8,Facilitietenprofielen!$A:$A,0))</f>
        <v>5</v>
      </c>
      <c r="Q8" s="206">
        <f>INDEX(Facilitietenprofielen!J:J,MATCH($J8,Facilitietenprofielen!$A:$A,0))</f>
        <v>5</v>
      </c>
      <c r="R8" s="206">
        <f>INDEX(Facilitietenprofielen!K:K,MATCH($J8,Facilitietenprofielen!$A:$A,0))</f>
        <v>5</v>
      </c>
      <c r="S8" s="206">
        <f>INDEX(Facilitietenprofielen!L:L,MATCH($J8,Facilitietenprofielen!$A:$A,0))</f>
        <v>5</v>
      </c>
      <c r="T8" s="206">
        <f>INDEX(Facilitietenprofielen!M:M,MATCH($J8,Facilitietenprofielen!$A:$A,0))</f>
        <v>510</v>
      </c>
      <c r="U8" s="206">
        <f>INDEX(Facilitietenprofielen!N:N,MATCH($J8,Facilitietenprofielen!$A:$A,0))</f>
        <v>102</v>
      </c>
      <c r="V8" s="206">
        <f>INDEX(Facilitietenprofielen!V:V,MATCH($J8,Facilitietenprofielen!$A:$A,0))</f>
        <v>1</v>
      </c>
      <c r="W8" s="206">
        <f>INDEX(Facilitietenprofielen!W:W,MATCH($J8,Facilitietenprofielen!$A:$A,0))</f>
        <v>1</v>
      </c>
      <c r="X8" s="206">
        <f>INDEX(Facilitietenprofielen!O:O,MATCH($J8,Facilitietenprofielen!$A:$A,0))</f>
        <v>1</v>
      </c>
      <c r="Y8" s="206">
        <f>INDEX(Facilitietenprofielen!P:P,MATCH($J8,Facilitietenprofielen!$A:$A,0))</f>
        <v>1</v>
      </c>
      <c r="Z8" s="206">
        <f>INDEX(Facilitietenprofielen!Q:Q,MATCH($J8,Facilitietenprofielen!$A:$A,0))</f>
        <v>1</v>
      </c>
      <c r="AA8" s="206">
        <f>INDEX(Facilitietenprofielen!R:R,MATCH($J8,Facilitietenprofielen!$A:$A,0))</f>
        <v>1</v>
      </c>
      <c r="AB8" s="206">
        <f>INDEX(Facilitietenprofielen!S:S,MATCH($J8,Facilitietenprofielen!$A:$A,0))</f>
        <v>1</v>
      </c>
      <c r="AC8" s="206">
        <f>INDEX(Facilitietenprofielen!T:T,MATCH($J8,Facilitietenprofielen!$A:$A,0))</f>
        <v>1</v>
      </c>
      <c r="AD8" s="206">
        <f>INDEX(Facilitietenprofielen!U:U,MATCH($J8,Facilitietenprofielen!$A:$A,0))</f>
        <v>1</v>
      </c>
      <c r="AE8" s="206">
        <f>INDEX(Facilitietenprofielen!Y:Y,MATCH($J8,Facilitietenprofielen!$A:$A,0))</f>
        <v>1</v>
      </c>
      <c r="AF8" s="206">
        <f>INDEX(Facilitietenprofielen!Z:Z,MATCH($J8,Facilitietenprofielen!$A:$A,0))</f>
        <v>1</v>
      </c>
      <c r="AG8" s="206">
        <f>INDEX(Facilitietenprofielen!AA:AA,MATCH($J8,Facilitietenprofielen!$A:$A,0))</f>
        <v>1</v>
      </c>
      <c r="AH8" s="206">
        <f>INDEX(Facilitietenprofielen!AB:AB,MATCH($J8,Facilitietenprofielen!$A:$A,0))</f>
        <v>1</v>
      </c>
      <c r="AI8" s="206">
        <f>INDEX(Facilitietenprofielen!AC:AC,MATCH($J8,Facilitietenprofielen!$A:$A,0))</f>
        <v>1</v>
      </c>
      <c r="AJ8" s="206">
        <f>INDEX(Facilitietenprofielen!AD:AD,MATCH($J8,Facilitietenprofielen!$A:$A,0))</f>
        <v>1</v>
      </c>
      <c r="AK8" s="206">
        <f>INDEX(Facilitietenprofielen!AE:AE,MATCH($J8,Facilitietenprofielen!$A:$A,0))</f>
        <v>1</v>
      </c>
      <c r="AL8" s="206">
        <f>INDEX(Facilitietenprofielen!AF:AF,MATCH($J8,Facilitietenprofielen!$A:$A,0))</f>
        <v>1</v>
      </c>
      <c r="AM8" s="206">
        <f>INDEX(Facilitietenprofielen!AG:AG,MATCH($J8,Facilitietenprofielen!$A:$A,0))</f>
        <v>1</v>
      </c>
      <c r="AN8" s="206">
        <f>INDEX(Facilitietenprofielen!AH:AH,MATCH($J8,Facilitietenprofielen!$A:$A,0))</f>
        <v>1</v>
      </c>
      <c r="AO8" s="206">
        <f>INDEX(Facilitietenprofielen!AI:AI,MATCH($J8,Facilitietenprofielen!$A:$A,0))</f>
        <v>1</v>
      </c>
      <c r="AP8" s="206">
        <f>INDEX(Facilitietenprofielen!AJ:AJ,MATCH($J8,Facilitietenprofielen!$A:$A,0))</f>
        <v>1</v>
      </c>
      <c r="AQ8" s="206">
        <f>INDEX(Facilitietenprofielen!AK:AK,MATCH($J8,Facilitietenprofielen!$A:$A,0))</f>
        <v>1</v>
      </c>
      <c r="AR8" s="206">
        <f>INDEX(Facilitietenprofielen!AL:AL,MATCH($J8,Facilitietenprofielen!$A:$A,0))</f>
        <v>1</v>
      </c>
      <c r="AS8" s="206">
        <f>INDEX(Facilitietenprofielen!AM:AM,MATCH($J8,Facilitietenprofielen!$A:$A,0))</f>
        <v>1</v>
      </c>
      <c r="AT8" s="206">
        <f>INDEX(Facilitietenprofielen!AN:AN,MATCH($J8,Facilitietenprofielen!$A:$A,0))</f>
        <v>1</v>
      </c>
      <c r="AU8" s="206">
        <f>INDEX(Facilitietenprofielen!AO:AO,MATCH($J8,Facilitietenprofielen!$A:$A,0))</f>
        <v>1</v>
      </c>
      <c r="AV8" s="207">
        <f>INDEX(Facilitietenprofielen!AP:AP,MATCH($J8,Facilitietenprofielen!$A:$A,0))</f>
        <v>1</v>
      </c>
      <c r="AW8" s="206">
        <f>INDEX('Rekenblad Aansluiting'!$O:$O,MATCH($G8&amp;" "&amp;$E8&amp;BE$3&amp;$H8,'Rekenblad Aansluiting'!$A:$A,0))</f>
        <v>102.77777777777777</v>
      </c>
      <c r="AX8" s="206">
        <f>INDEX('Rekenblad Aansluiting'!$O:$O,MATCH($G8&amp;" "&amp;$E8&amp;BF$3&amp;$H8,'Rekenblad Aansluiting'!$A:$A,0))</f>
        <v>102.77777777777777</v>
      </c>
      <c r="AY8" s="206">
        <f>INDEX('Rekenblad Aansluiting'!$O:$O,MATCH($G8&amp;" "&amp;$E8&amp;BG$3&amp;$H8,'Rekenblad Aansluiting'!$A:$A,0))</f>
        <v>102.77777777777777</v>
      </c>
      <c r="AZ8" s="206">
        <f>INDEX('Rekenblad Aansluiting'!$O:$O,MATCH($G8&amp;" "&amp;$E8&amp;BH$3&amp;$H8,'Rekenblad Aansluiting'!$A:$A,0))</f>
        <v>102.77777777777777</v>
      </c>
      <c r="BA8" s="206">
        <f>INDEX('Rekenblad Aansluiting'!$O:$O,MATCH($G8&amp;" "&amp;$E8&amp;BI$3&amp;$H8,'Rekenblad Aansluiting'!$A:$A,0))</f>
        <v>102.77777777777777</v>
      </c>
      <c r="BB8" s="206">
        <f>INDEX('Rekenblad Aansluiting'!$O:$O,MATCH($G8&amp;" "&amp;$E8&amp;BJ$3&amp;$H8,'Rekenblad Aansluiting'!$A:$A,0))</f>
        <v>102.77777777777777</v>
      </c>
      <c r="BC8" s="206">
        <f>INDEX('Rekenblad Aansluiting'!$O:$O,MATCH($G8&amp;" "&amp;$E8&amp;BK$3&amp;$H8,'Rekenblad Aansluiting'!$A:$A,0))</f>
        <v>102.77777777777777</v>
      </c>
      <c r="BD8" s="206">
        <f t="shared" si="5"/>
        <v>4625</v>
      </c>
      <c r="BE8" s="212">
        <f>INDEX('Rekenblad Aansluiting'!$X:$X,MATCH($G8&amp;" "&amp;$E8&amp;BE$3&amp;$H8,'Rekenblad Aansluiting'!$A:$A,0))</f>
        <v>77.017966949999987</v>
      </c>
      <c r="BF8" s="213">
        <f>INDEX('Rekenblad Aansluiting'!$X:$X,MATCH($G8&amp;" "&amp;$E8&amp;BF$3&amp;$H8,'Rekenblad Aansluiting'!$A:$A,0))</f>
        <v>77.017966949999987</v>
      </c>
      <c r="BG8" s="213">
        <f>INDEX('Rekenblad Aansluiting'!$X:$X,MATCH($G8&amp;" "&amp;$E8&amp;BG$3&amp;$H8,'Rekenblad Aansluiting'!$A:$A,0))</f>
        <v>77.017966949999987</v>
      </c>
      <c r="BH8" s="213">
        <f>INDEX('Rekenblad Aansluiting'!$X:$X,MATCH($G8&amp;" "&amp;$E8&amp;BH$3&amp;$H8,'Rekenblad Aansluiting'!$A:$A,0))</f>
        <v>65.379043694444434</v>
      </c>
      <c r="BI8" s="213">
        <f>INDEX('Rekenblad Aansluiting'!$X:$X,MATCH($G8&amp;" "&amp;$E8&amp;BI$3&amp;$H8,'Rekenblad Aansluiting'!$A:$A,0))</f>
        <v>65.379043694444434</v>
      </c>
      <c r="BJ8" s="213">
        <f>INDEX('Rekenblad Aansluiting'!$X:$X,MATCH($G8&amp;" "&amp;$E8&amp;BJ$3&amp;$H8,'Rekenblad Aansluiting'!$A:$A,0))</f>
        <v>65.379043694444434</v>
      </c>
      <c r="BK8" s="213">
        <f>INDEX('Rekenblad Aansluiting'!$X:$X,MATCH($G8&amp;" "&amp;$E8&amp;BK$3&amp;$H8,'Rekenblad Aansluiting'!$A:$A,0))</f>
        <v>87.868888888888875</v>
      </c>
      <c r="BL8" s="223">
        <f t="shared" si="0"/>
        <v>3345.4792736111103</v>
      </c>
      <c r="BM8" s="129">
        <f>IF(ISNA(INDEX('Tarieven ZM'!$G:$G,MATCH($G8&amp;BM$3,'Tarieven ZM'!$B:$B,0))),0,INDEX('Tarieven ZM'!$G:$G,MATCH($G8&amp;BM$3,'Tarieven ZM'!$B:$B,0)))</f>
        <v>100</v>
      </c>
      <c r="BN8" s="133">
        <f>IF(ISNA(INDEX('Tarieven ZM'!$G:$G,MATCH($G8&amp;BN$3,'Tarieven ZM'!$B:$B,0))),0,INDEX('Tarieven ZM'!$G:$G,MATCH($G8&amp;BN$3,'Tarieven ZM'!$B:$B,0)))</f>
        <v>100</v>
      </c>
      <c r="BO8" s="133">
        <f>IF(ISNA(INDEX('Tarieven ZM'!$G:$G,MATCH($G8&amp;BO$3,'Tarieven ZM'!$B:$B,0))),0,INDEX('Tarieven ZM'!$G:$G,MATCH($G8&amp;BO$3,'Tarieven ZM'!$B:$B,0)))</f>
        <v>100</v>
      </c>
      <c r="BP8" s="133">
        <f>IF(ISNA(INDEX('Tarieven ZM'!$G:$G,MATCH($G8&amp;BP$3,'Tarieven ZM'!$B:$B,0))),0,INDEX('Tarieven ZM'!$G:$G,MATCH($G8&amp;BP$3,'Tarieven ZM'!$B:$B,0)))</f>
        <v>100</v>
      </c>
      <c r="BQ8" s="133">
        <f>IF(ISNA(INDEX('Tarieven ZM'!$G:$G,MATCH($G8&amp;BQ$3,'Tarieven ZM'!$B:$B,0))),0,INDEX('Tarieven ZM'!$G:$G,MATCH($G8&amp;BQ$3,'Tarieven ZM'!$B:$B,0)))</f>
        <v>100</v>
      </c>
      <c r="BR8" s="133">
        <f>IF(ISNA(INDEX('Tarieven ZM'!$G:$G,MATCH($G8&amp;BR$3,'Tarieven ZM'!$B:$B,0))),0,INDEX('Tarieven ZM'!$G:$G,MATCH($G8&amp;BR$3,'Tarieven ZM'!$B:$B,0)))</f>
        <v>100</v>
      </c>
      <c r="BS8" s="133">
        <f>IF(ISNA(INDEX('Tarieven ZM'!$G:$G,MATCH($G8&amp;BS$3,'Tarieven ZM'!$B:$B,0))),0,INDEX('Tarieven ZM'!$G:$G,MATCH($G8&amp;BS$3,'Tarieven ZM'!$B:$B,0)))</f>
        <v>0</v>
      </c>
      <c r="BT8" s="133">
        <f>IF(ISNA(INDEX('Tarieven ZM'!$G:$G,MATCH($G8&amp;BT$3,'Tarieven ZM'!$B:$B,0))),0,INDEX('Tarieven ZM'!$G:$G,MATCH($G8&amp;BT$3,'Tarieven ZM'!$B:$B,0)))</f>
        <v>0</v>
      </c>
      <c r="BU8" s="133">
        <f>IF(ISNA(INDEX('Tarieven ZM'!$G:$G,MATCH($G8&amp;BU$3,'Tarieven ZM'!$B:$B,0))),0,INDEX('Tarieven ZM'!$G:$G,MATCH($G8&amp;BU$3,'Tarieven ZM'!$B:$B,0)))</f>
        <v>0</v>
      </c>
      <c r="BV8" s="133">
        <f>IF(ISNA(INDEX('Tarieven ZM'!$G:$G,MATCH($G8&amp;BV$3,'Tarieven ZM'!$B:$B,0))),0,INDEX('Tarieven ZM'!$G:$G,MATCH($G8&amp;BV$3,'Tarieven ZM'!$B:$B,0)))</f>
        <v>0</v>
      </c>
      <c r="BW8" s="133">
        <f>IF(ISNA(INDEX('Tarieven ZM'!$G:$G,MATCH($G8&amp;BW$3,'Tarieven ZM'!$B:$B,0))),0,INDEX('Tarieven ZM'!$G:$G,MATCH($G8&amp;BW$3,'Tarieven ZM'!$B:$B,0)))</f>
        <v>0</v>
      </c>
      <c r="BX8" s="133">
        <f>IF(ISNA(INDEX('Tarieven ZM'!$G:$G,MATCH($G8&amp;BX$3,'Tarieven ZM'!$B:$B,0))),0,INDEX('Tarieven ZM'!$G:$G,MATCH($G8&amp;BX$3,'Tarieven ZM'!$B:$B,0)))</f>
        <v>0</v>
      </c>
      <c r="BY8" s="133">
        <f>IF(ISNA(INDEX('Tarieven ZM'!$G:$G,MATCH($G8&amp;BY$3,'Tarieven ZM'!$B:$B,0))),0,INDEX('Tarieven ZM'!$G:$G,MATCH($G8&amp;BY$3,'Tarieven ZM'!$B:$B,0)))</f>
        <v>0</v>
      </c>
      <c r="BZ8" s="133">
        <f>IF(ISNA(INDEX('Tarieven ZM'!$G:$G,MATCH($G8&amp;BZ$3,'Tarieven ZM'!$B:$B,0))),0,INDEX('Tarieven ZM'!$G:$G,MATCH($G8&amp;BZ$3,'Tarieven ZM'!$B:$B,0)))</f>
        <v>0</v>
      </c>
      <c r="CA8" s="133">
        <f>IF(ISNA(INDEX('Tarieven ZM'!$G:$G,MATCH($G8&amp;CA$3,'Tarieven ZM'!$B:$B,0))),0,INDEX('Tarieven ZM'!$G:$G,MATCH($G8&amp;CA$3,'Tarieven ZM'!$B:$B,0)))</f>
        <v>0</v>
      </c>
      <c r="CB8" s="133">
        <f>IF(ISNA(INDEX('Tarieven ZM'!$G:$G,MATCH($G8&amp;CB$3,'Tarieven ZM'!$B:$B,0))),0,INDEX('Tarieven ZM'!$G:$G,MATCH($G8&amp;CB$3,'Tarieven ZM'!$B:$B,0)))</f>
        <v>0</v>
      </c>
      <c r="CC8" s="133">
        <f>IF(ISNA(INDEX('Tarieven ZM'!$G:$G,MATCH($G8&amp;CC$3,'Tarieven ZM'!$B:$B,0))),0,INDEX('Tarieven ZM'!$G:$G,MATCH($G8&amp;CC$3,'Tarieven ZM'!$B:$B,0)))</f>
        <v>0</v>
      </c>
      <c r="CD8" s="133">
        <f>IF(ISNA(INDEX('Tarieven ZM'!$G:$G,MATCH($G8&amp;CD$3,'Tarieven ZM'!$B:$B,0))),0,INDEX('Tarieven ZM'!$G:$G,MATCH($G8&amp;CD$3,'Tarieven ZM'!$B:$B,0)))</f>
        <v>0</v>
      </c>
      <c r="CE8" s="133">
        <f>IF(ISNA(INDEX('Tarieven ZM'!$G:$G,MATCH($G8&amp;CE$3,'Tarieven ZM'!$B:$B,0))),0,INDEX('Tarieven ZM'!$G:$G,MATCH($G8&amp;CE$3,'Tarieven ZM'!$B:$B,0)))</f>
        <v>0</v>
      </c>
      <c r="CF8" s="133">
        <f>IF(ISNA(INDEX('Tarieven ZM'!$G:$G,MATCH($G8&amp;CF$3,'Tarieven ZM'!$B:$B,0))),0,INDEX('Tarieven ZM'!$G:$G,MATCH($G8&amp;CF$3,'Tarieven ZM'!$B:$B,0)))</f>
        <v>0</v>
      </c>
      <c r="CG8" s="133">
        <f>IF(ISNA(INDEX('Tarieven ZM'!$G:$G,MATCH($G8&amp;CG$3,'Tarieven ZM'!$B:$B,0))),0,INDEX('Tarieven ZM'!$G:$G,MATCH($G8&amp;CG$3,'Tarieven ZM'!$B:$B,0)))</f>
        <v>0</v>
      </c>
      <c r="CH8" s="133">
        <f>IF(ISNA(INDEX('Tarieven ZM'!$G:$G,MATCH($G8&amp;CH$3,'Tarieven ZM'!$B:$B,0))),0,INDEX('Tarieven ZM'!$G:$G,MATCH($G8&amp;CH$3,'Tarieven ZM'!$B:$B,0)))</f>
        <v>0</v>
      </c>
      <c r="CI8" s="133">
        <f>IF(ISNA(INDEX('Tarieven ZM'!$G:$G,MATCH($G8&amp;CI$3,'Tarieven ZM'!$B:$B,0))),0,INDEX('Tarieven ZM'!$G:$G,MATCH($G8&amp;CI$3,'Tarieven ZM'!$B:$B,0)))</f>
        <v>0</v>
      </c>
      <c r="CJ8" s="133">
        <f>IF(ISNA(INDEX('Tarieven ZM'!$G:$G,MATCH($G8&amp;CJ$3,'Tarieven ZM'!$B:$B,0))),0,INDEX('Tarieven ZM'!$G:$G,MATCH($G8&amp;CJ$3,'Tarieven ZM'!$B:$B,0)))</f>
        <v>0</v>
      </c>
      <c r="CK8" s="120">
        <f>IF(ISNA(INDEX('Tarieven ZM'!$G:$G,MATCH($G8&amp;CK$3,'Tarieven ZM'!$B:$B,0))),0,INDEX('Tarieven ZM'!$G:$G,MATCH($G8&amp;CK$3,'Tarieven ZM'!$B:$B,0)))</f>
        <v>0</v>
      </c>
      <c r="CL8" s="129">
        <f>IF(ISNA(INDEX('Tarieven ZM'!$H:$H,MATCH($G8&amp;CL$3,'Tarieven ZM'!$B:$B,0))),0,INDEX('Tarieven ZM'!$H:$H,MATCH($G8&amp;CL$3,'Tarieven ZM'!$B:$B,0)))</f>
        <v>1000</v>
      </c>
      <c r="CM8" s="133">
        <f>IF(ISNA(INDEX('Tarieven ZM'!$H:$H,MATCH($G8&amp;CM$3,'Tarieven ZM'!$B:$B,0))),0,INDEX('Tarieven ZM'!$H:$H,MATCH($G8&amp;CM$3,'Tarieven ZM'!$B:$B,0)))</f>
        <v>1000</v>
      </c>
      <c r="CN8" s="133">
        <f>IF(ISNA(INDEX('Tarieven ZM'!$H:$H,MATCH($G8&amp;CN$3,'Tarieven ZM'!$B:$B,0))),0,INDEX('Tarieven ZM'!$H:$H,MATCH($G8&amp;CN$3,'Tarieven ZM'!$B:$B,0)))</f>
        <v>1000</v>
      </c>
      <c r="CO8" s="133">
        <f>IF(ISNA(INDEX('Tarieven ZM'!$H:$H,MATCH($G8&amp;CO$3,'Tarieven ZM'!$B:$B,0))),0,INDEX('Tarieven ZM'!$H:$H,MATCH($G8&amp;CO$3,'Tarieven ZM'!$B:$B,0)))</f>
        <v>1000</v>
      </c>
      <c r="CP8" s="133">
        <f>IF(ISNA(INDEX('Tarieven ZM'!$H:$H,MATCH($G8&amp;CP$3,'Tarieven ZM'!$B:$B,0))),0,INDEX('Tarieven ZM'!$H:$H,MATCH($G8&amp;CP$3,'Tarieven ZM'!$B:$B,0)))</f>
        <v>1000</v>
      </c>
      <c r="CQ8" s="133">
        <f>IF(ISNA(INDEX('Tarieven ZM'!$H:$H,MATCH($G8&amp;CQ$3,'Tarieven ZM'!$B:$B,0))),0,INDEX('Tarieven ZM'!$H:$H,MATCH($G8&amp;CQ$3,'Tarieven ZM'!$B:$B,0)))</f>
        <v>1000</v>
      </c>
      <c r="CR8" s="133">
        <f>IF(ISNA(INDEX('Tarieven ZM'!$H:$H,MATCH($G8&amp;CR$3,'Tarieven ZM'!$B:$B,0))),0,INDEX('Tarieven ZM'!$H:$H,MATCH($G8&amp;CR$3,'Tarieven ZM'!$B:$B,0)))</f>
        <v>1000</v>
      </c>
      <c r="CS8" s="133">
        <f>IF(ISNA(INDEX('Tarieven ZM'!$H:$H,MATCH($G8&amp;CS$3,'Tarieven ZM'!$B:$B,0))),0,INDEX('Tarieven ZM'!$H:$H,MATCH($G8&amp;CS$3,'Tarieven ZM'!$B:$B,0)))</f>
        <v>0</v>
      </c>
      <c r="CT8" s="133">
        <f>IF(ISNA(INDEX('Tarieven ZM'!$H:$H,MATCH($G8&amp;CT$3,'Tarieven ZM'!$B:$B,0))),0,INDEX('Tarieven ZM'!$H:$H,MATCH($G8&amp;CT$3,'Tarieven ZM'!$B:$B,0)))</f>
        <v>0</v>
      </c>
      <c r="CU8" s="133">
        <f>IF(ISNA(INDEX('Tarieven ZM'!$H:$H,MATCH($G8&amp;CU$3,'Tarieven ZM'!$B:$B,0))),0,INDEX('Tarieven ZM'!$H:$H,MATCH($G8&amp;CU$3,'Tarieven ZM'!$B:$B,0)))</f>
        <v>0</v>
      </c>
      <c r="CV8" s="133">
        <f>IF(ISNA(INDEX('Tarieven ZM'!$H:$H,MATCH($G8&amp;CV$3,'Tarieven ZM'!$B:$B,0))),0,INDEX('Tarieven ZM'!$H:$H,MATCH($G8&amp;CV$3,'Tarieven ZM'!$B:$B,0)))</f>
        <v>0</v>
      </c>
      <c r="CW8" s="133">
        <f>IF(ISNA(INDEX('Tarieven ZM'!$H:$H,MATCH($G8&amp;CW$3,'Tarieven ZM'!$B:$B,0))),0,INDEX('Tarieven ZM'!$H:$H,MATCH($G8&amp;CW$3,'Tarieven ZM'!$B:$B,0)))</f>
        <v>0</v>
      </c>
      <c r="CX8" s="133">
        <f>IF(ISNA(INDEX('Tarieven ZM'!$H:$H,MATCH($G8&amp;CX$3,'Tarieven ZM'!$B:$B,0))),0,INDEX('Tarieven ZM'!$H:$H,MATCH($G8&amp;CX$3,'Tarieven ZM'!$B:$B,0)))</f>
        <v>0</v>
      </c>
      <c r="CY8" s="133">
        <f>IF(ISNA(INDEX('Tarieven ZM'!$H:$H,MATCH($G8&amp;CY$3,'Tarieven ZM'!$B:$B,0))),0,INDEX('Tarieven ZM'!$H:$H,MATCH($G8&amp;CY$3,'Tarieven ZM'!$B:$B,0)))</f>
        <v>0</v>
      </c>
      <c r="CZ8" s="133">
        <f>IF(ISNA(INDEX('Tarieven ZM'!$H:$H,MATCH($G8&amp;CZ$3,'Tarieven ZM'!$B:$B,0))),0,INDEX('Tarieven ZM'!$H:$H,MATCH($G8&amp;CZ$3,'Tarieven ZM'!$B:$B,0)))</f>
        <v>0</v>
      </c>
      <c r="DA8" s="133">
        <f>IF(ISNA(INDEX('Tarieven ZM'!$H:$H,MATCH($G8&amp;DA$3,'Tarieven ZM'!$B:$B,0))),0,INDEX('Tarieven ZM'!$H:$H,MATCH($G8&amp;DA$3,'Tarieven ZM'!$B:$B,0)))</f>
        <v>0</v>
      </c>
      <c r="DB8" s="133">
        <f>IF(ISNA(INDEX('Tarieven ZM'!$H:$H,MATCH($G8&amp;DB$3,'Tarieven ZM'!$B:$B,0))),0,INDEX('Tarieven ZM'!$H:$H,MATCH($G8&amp;DB$3,'Tarieven ZM'!$B:$B,0)))</f>
        <v>0</v>
      </c>
      <c r="DC8" s="133">
        <f>IF(ISNA(INDEX('Tarieven ZM'!$H:$H,MATCH($G8&amp;DC$3,'Tarieven ZM'!$B:$B,0))),0,INDEX('Tarieven ZM'!$H:$H,MATCH($G8&amp;DC$3,'Tarieven ZM'!$B:$B,0)))</f>
        <v>0</v>
      </c>
      <c r="DD8" s="133">
        <f>IF(ISNA(INDEX('Tarieven ZM'!$H:$H,MATCH($G8&amp;DD$3,'Tarieven ZM'!$B:$B,0))),0,INDEX('Tarieven ZM'!$H:$H,MATCH($G8&amp;DD$3,'Tarieven ZM'!$B:$B,0)))</f>
        <v>1000</v>
      </c>
      <c r="DE8" s="133">
        <f>IF(ISNA(INDEX('Tarieven ZM'!$H:$H,MATCH($G8&amp;DE$3,'Tarieven ZM'!$B:$B,0))),0,INDEX('Tarieven ZM'!$H:$H,MATCH($G8&amp;DE$3,'Tarieven ZM'!$B:$B,0)))</f>
        <v>0</v>
      </c>
      <c r="DF8" s="133">
        <f>IF(ISNA(INDEX('Tarieven ZM'!$H:$H,MATCH($G8&amp;DF$3,'Tarieven ZM'!$B:$B,0))),0,INDEX('Tarieven ZM'!$H:$H,MATCH($G8&amp;DF$3,'Tarieven ZM'!$B:$B,0)))</f>
        <v>0</v>
      </c>
      <c r="DG8" s="133">
        <f>IF(ISNA(INDEX('Tarieven ZM'!$H:$H,MATCH($G8&amp;DG$3,'Tarieven ZM'!$B:$B,0))),0,INDEX('Tarieven ZM'!$H:$H,MATCH($G8&amp;DG$3,'Tarieven ZM'!$B:$B,0)))</f>
        <v>0</v>
      </c>
      <c r="DH8" s="133">
        <f>IF(ISNA(INDEX('Tarieven ZM'!$H:$H,MATCH($G8&amp;DH$3,'Tarieven ZM'!$B:$B,0))),0,INDEX('Tarieven ZM'!$H:$H,MATCH($G8&amp;DH$3,'Tarieven ZM'!$B:$B,0)))</f>
        <v>0</v>
      </c>
      <c r="DI8" s="133">
        <f>IF(ISNA(INDEX('Tarieven ZM'!$H:$H,MATCH($G8&amp;DI$3,'Tarieven ZM'!$B:$B,0))),0,INDEX('Tarieven ZM'!$H:$H,MATCH($G8&amp;DI$3,'Tarieven ZM'!$B:$B,0)))</f>
        <v>0</v>
      </c>
      <c r="DJ8" s="120">
        <f>IF(ISNA(INDEX('Tarieven ZM'!$H:$H,MATCH($G8&amp;DJ$3,'Tarieven ZM'!$B:$B,0))),0,INDEX('Tarieven ZM'!$H:$H,MATCH($G8&amp;DJ$3,'Tarieven ZM'!$B:$B,0)))</f>
        <v>1000</v>
      </c>
      <c r="DK8" s="212">
        <f t="shared" si="6"/>
        <v>601</v>
      </c>
      <c r="DL8" s="142">
        <f>SUMPRODUCT($X8:$AV8,CL8:DJ8)/Parameters!$B$9</f>
        <v>250</v>
      </c>
      <c r="DM8" s="157">
        <f t="shared" si="7"/>
        <v>851</v>
      </c>
      <c r="DN8" s="129">
        <f>INDEX(WLR!$J:$J,MATCH(DN$4,WLR!$A:$A,0))</f>
        <v>10.39</v>
      </c>
      <c r="DO8" s="133">
        <f>INDEX(WLR!$J:$J,MATCH(DO$4,WLR!$A:$A,0))</f>
        <v>10.39</v>
      </c>
      <c r="DP8" s="133">
        <f>INDEX(WLR!$J:$J,MATCH(DP$4,WLR!$A:$A,0))</f>
        <v>62.94</v>
      </c>
      <c r="DQ8" s="133">
        <f>INDEX(WLR!$J:$J,MATCH(DQ$4,WLR!$A:$A,0))</f>
        <v>62.94</v>
      </c>
      <c r="DR8" s="133">
        <f>INDEX(WLR!$J:$J,MATCH(DR$4,WLR!$A:$A,0))</f>
        <v>494.44</v>
      </c>
      <c r="DS8" s="133">
        <f>INDEX(WLR!$J:$J,MATCH(DS$4,WLR!$A:$A,0))</f>
        <v>494.44</v>
      </c>
      <c r="DT8" s="133">
        <f>INDEX(WLR!$J:$J,MATCH(DT$4,WLR!$A:$A,0))</f>
        <v>3510.28</v>
      </c>
      <c r="DU8" s="133">
        <f>INDEX(WLR!$J:$J,MATCH(DU$4,WLR!$A:$A,0))</f>
        <v>1.19</v>
      </c>
      <c r="DV8" s="133">
        <f>INDEX(WLR!$J:$J,MATCH(DV$4,WLR!$A:$A,0))</f>
        <v>29.43</v>
      </c>
      <c r="DW8" s="133">
        <f>INDEX(WLR!$J:$J,MATCH(DW$4,WLR!$A:$A,0))</f>
        <v>192.45</v>
      </c>
      <c r="DX8" s="133">
        <f>INDEX(WLR!$J:$J,MATCH(DX$4,WLR!$A:$A,0))</f>
        <v>9.8000000000000007</v>
      </c>
      <c r="DY8" s="133">
        <f>INDEX(WLR!$J:$J,MATCH(DY$4,WLR!$A:$A,0))</f>
        <v>34.950000000000003</v>
      </c>
      <c r="DZ8" s="133">
        <f>INDEX(WLR!$J:$J,MATCH(DZ$4,WLR!$A:$A,0))</f>
        <v>34.950000000000003</v>
      </c>
      <c r="EA8" s="133">
        <f>INDEX(WLR!$J:$J,MATCH(EA$4,WLR!$A:$A,0))</f>
        <v>2.08</v>
      </c>
      <c r="EB8" s="133">
        <f>INDEX(WLR!$J:$J,MATCH(EB$4,WLR!$A:$A,0))</f>
        <v>1.97</v>
      </c>
      <c r="EC8" s="133">
        <f>INDEX(WLR!$J:$J,MATCH(EC$4,WLR!$A:$A,0))</f>
        <v>1.97</v>
      </c>
      <c r="ED8" s="133">
        <f>INDEX(WLR!$J:$J,MATCH(ED$4,WLR!$A:$A,0))</f>
        <v>0</v>
      </c>
      <c r="EE8" s="133">
        <f>INDEX(WLR!$J:$J,MATCH(EE$4,WLR!$A:$A,0))</f>
        <v>0</v>
      </c>
      <c r="EF8" s="133">
        <f>INDEX(WLR!$J:$J,MATCH(EF$4,WLR!$A:$A,0))</f>
        <v>0.96</v>
      </c>
      <c r="EG8" s="133">
        <f>INDEX(WLR!$J:$J,MATCH(EG$4,WLR!$A:$A,0))</f>
        <v>4.53</v>
      </c>
      <c r="EH8" s="133">
        <f>INDEX(WLR!$J:$J,MATCH(EH$4,WLR!$A:$A,0))</f>
        <v>4.53</v>
      </c>
      <c r="EI8" s="133">
        <f>INDEX(WLR!$J:$J,MATCH(EI$4,WLR!$A:$A,0))</f>
        <v>7.58</v>
      </c>
      <c r="EJ8" s="133">
        <f>INDEX(WLR!$J:$J,MATCH(EJ$4,WLR!$A:$A,0))</f>
        <v>31.11</v>
      </c>
      <c r="EK8" s="133">
        <f>INDEX(WLR!$J:$J,MATCH(EK$4,WLR!$A:$A,0))</f>
        <v>31.11</v>
      </c>
      <c r="EL8" s="120">
        <f>INDEX(WLR!$J:$J,MATCH(EL$4,WLR!$A:$A,0))</f>
        <v>0.96</v>
      </c>
      <c r="EM8" s="129">
        <f>INDEX(WLR!$I:$I,MATCH(EM$4,WLR!$A:$A,0))</f>
        <v>0</v>
      </c>
      <c r="EN8" s="133">
        <f>INDEX(WLR!$I:$I,MATCH(EN$4,WLR!$A:$A,0))</f>
        <v>16.21</v>
      </c>
      <c r="EO8" s="133">
        <f>INDEX(WLR!$I:$I,MATCH(EO$4,WLR!$A:$A,0))</f>
        <v>0</v>
      </c>
      <c r="EP8" s="133">
        <f>INDEX(WLR!$I:$I,MATCH(EP$4,WLR!$A:$A,0))</f>
        <v>16.21</v>
      </c>
      <c r="EQ8" s="133">
        <f>INDEX(WLR!$I:$I,MATCH(EQ$4,WLR!$A:$A,0))</f>
        <v>0</v>
      </c>
      <c r="ER8" s="133">
        <f>INDEX(WLR!$I:$I,MATCH(ER$4,WLR!$A:$A,0))</f>
        <v>16.21</v>
      </c>
      <c r="ES8" s="133">
        <f>INDEX(WLR!$I:$I,MATCH(ES$4,WLR!$A:$A,0))</f>
        <v>0</v>
      </c>
      <c r="ET8" s="133">
        <f>INDEX(WLR!$I:$I,MATCH(ET$4,WLR!$A:$A,0))</f>
        <v>82.82</v>
      </c>
      <c r="EU8" s="133">
        <f>INDEX(WLR!$I:$I,MATCH(EU$4,WLR!$A:$A,0))</f>
        <v>748.42</v>
      </c>
      <c r="EV8" s="133">
        <f>INDEX(WLR!$I:$I,MATCH(EV$4,WLR!$A:$A,0))</f>
        <v>1282.99</v>
      </c>
      <c r="EW8" s="133">
        <f>INDEX(WLR!$I:$I,MATCH(EW$4,WLR!$A:$A,0))</f>
        <v>16.21</v>
      </c>
      <c r="EX8" s="133">
        <f>INDEX(WLR!$I:$I,MATCH(EX$4,WLR!$A:$A,0))</f>
        <v>79.94</v>
      </c>
      <c r="EY8" s="133">
        <f>INDEX(WLR!$I:$I,MATCH(EY$4,WLR!$A:$A,0))</f>
        <v>839.48</v>
      </c>
      <c r="EZ8" s="133">
        <f>INDEX(WLR!$I:$I,MATCH(EZ$4,WLR!$A:$A,0))</f>
        <v>32.950000000000003</v>
      </c>
      <c r="FA8" s="133">
        <f>INDEX(WLR!$I:$I,MATCH(FA$4,WLR!$A:$A,0))</f>
        <v>16.21</v>
      </c>
      <c r="FB8" s="133">
        <f>INDEX(WLR!$I:$I,MATCH(FB$4,WLR!$A:$A,0))</f>
        <v>16.21</v>
      </c>
      <c r="FC8" s="133">
        <f>INDEX(WLR!$I:$I,MATCH(FC$4,WLR!$A:$A,0))</f>
        <v>0</v>
      </c>
      <c r="FD8" s="133">
        <f>INDEX(WLR!$I:$I,MATCH(FD$4,WLR!$A:$A,0))</f>
        <v>15.73</v>
      </c>
      <c r="FE8" s="133">
        <f>INDEX(WLR!$I:$I,MATCH(FE$4,WLR!$A:$A,0))</f>
        <v>0</v>
      </c>
      <c r="FF8" s="133">
        <f>INDEX(WLR!$I:$I,MATCH(FF$4,WLR!$A:$A,0))</f>
        <v>0</v>
      </c>
      <c r="FG8" s="133">
        <f>INDEX(WLR!$I:$I,MATCH(FG$4,WLR!$A:$A,0))</f>
        <v>0</v>
      </c>
      <c r="FH8" s="133">
        <f>INDEX(WLR!$I:$I,MATCH(FH$4,WLR!$A:$A,0))</f>
        <v>15.73</v>
      </c>
      <c r="FI8" s="133">
        <f>INDEX(WLR!$I:$I,MATCH(FI$4,WLR!$A:$A,0))</f>
        <v>40.06</v>
      </c>
      <c r="FJ8" s="133">
        <f>INDEX(WLR!$I:$I,MATCH(FJ$4,WLR!$A:$A,0))</f>
        <v>40.06</v>
      </c>
      <c r="FK8" s="120">
        <f>INDEX(WLR!$I:$I,MATCH(FK$4,WLR!$A:$A,0))</f>
        <v>0</v>
      </c>
      <c r="FL8" s="168">
        <f>SUMPRODUCT(X8:AV8,DN8:EL8)+V8*(1-Parameters!$B$52)</f>
        <v>5036.1899999999987</v>
      </c>
      <c r="FM8" s="213">
        <f>SUMPRODUCT(X8:AV8,EM8:FK8)/Parameters!$B$9</f>
        <v>90.984444444444435</v>
      </c>
      <c r="FN8" s="136">
        <f t="shared" si="8"/>
        <v>5127.174444444443</v>
      </c>
      <c r="FO8" s="148">
        <f>DM8*Parameters!$B$3</f>
        <v>85.100000000000009</v>
      </c>
      <c r="FP8" s="142">
        <f>IF(LEFT(G8,3)="KPN",(('Vergoedingen grondslag'!$F$11+'Vergoedingen grondslag'!$I$11+'Vergoedingen grondslag'!$L$11+'Vergoedingen grondslag'!$O$11)*DK8)+('Vergoedingen grondslag'!$O$11*DL8+'Vergoedingen grondslag'!$R$11*0+'Vergoedingen grondslag'!$U$11+'Vergoedingen grondslag'!$X$11)/36,(('Vergoedingen grondslag'!$F$20+'Vergoedingen grondslag'!$I$20+'Vergoedingen grondslag'!$L$20+'Vergoedingen grondslag'!$O$20)*DK8)+('Vergoedingen grondslag'!$O$20*DL8+'Vergoedingen grondslag'!$R$20*0+'Vergoedingen grondslag'!$U$20*0)/36)</f>
        <v>24.164999999999999</v>
      </c>
      <c r="FQ8" s="133"/>
      <c r="FR8" s="157">
        <f t="shared" si="9"/>
        <v>109.26500000000001</v>
      </c>
      <c r="FS8" s="166">
        <f t="shared" si="10"/>
        <v>5236.4394444444433</v>
      </c>
      <c r="FT8" s="168">
        <f t="shared" si="1"/>
        <v>3236.21427361111</v>
      </c>
      <c r="FU8" s="145">
        <f t="shared" si="2"/>
        <v>0.59098142323066294</v>
      </c>
      <c r="FV8" s="120" t="b">
        <f t="shared" si="11"/>
        <v>0</v>
      </c>
      <c r="FW8" s="331" t="s">
        <v>868</v>
      </c>
    </row>
    <row r="9" spans="2:179" ht="14.4">
      <c r="B9" s="129"/>
      <c r="C9" s="120"/>
      <c r="D9" s="129" t="s">
        <v>642</v>
      </c>
      <c r="E9" s="133" t="s">
        <v>19</v>
      </c>
      <c r="F9" s="133" t="s">
        <v>465</v>
      </c>
      <c r="G9" s="133" t="s">
        <v>9</v>
      </c>
      <c r="H9" s="133" t="s">
        <v>459</v>
      </c>
      <c r="I9" s="133" t="str">
        <f t="shared" si="3"/>
        <v>KPN Zakelijk BelBasisISDN2VVE overstap</v>
      </c>
      <c r="J9" s="120" t="str">
        <f>D9&amp;F9&amp;G9</f>
        <v>n1*ISDN2KPN</v>
      </c>
      <c r="K9" s="205">
        <f>INDEX(Facilitietenprofielen!D:D,MATCH($J9,Facilitietenprofielen!$A:$A,0))</f>
        <v>5</v>
      </c>
      <c r="L9" s="206">
        <f>INDEX(Facilitietenprofielen!E:E,MATCH($J9,Facilitietenprofielen!$A:$A,0))</f>
        <v>5</v>
      </c>
      <c r="M9" s="206">
        <f>INDEX(Facilitietenprofielen!F:F,MATCH($J9,Facilitietenprofielen!$A:$A,0))</f>
        <v>5</v>
      </c>
      <c r="N9" s="206">
        <f>INDEX(Facilitietenprofielen!G:G,MATCH($J9,Facilitietenprofielen!$A:$A,0))</f>
        <v>5</v>
      </c>
      <c r="O9" s="206">
        <f>INDEX(Facilitietenprofielen!H:H,MATCH($J9,Facilitietenprofielen!$A:$A,0))</f>
        <v>5</v>
      </c>
      <c r="P9" s="206">
        <f>INDEX(Facilitietenprofielen!I:I,MATCH($J9,Facilitietenprofielen!$A:$A,0))</f>
        <v>5</v>
      </c>
      <c r="Q9" s="206">
        <f>INDEX(Facilitietenprofielen!J:J,MATCH($J9,Facilitietenprofielen!$A:$A,0))</f>
        <v>5</v>
      </c>
      <c r="R9" s="206">
        <f>INDEX(Facilitietenprofielen!K:K,MATCH($J9,Facilitietenprofielen!$A:$A,0))</f>
        <v>5</v>
      </c>
      <c r="S9" s="206">
        <f>INDEX(Facilitietenprofielen!L:L,MATCH($J9,Facilitietenprofielen!$A:$A,0))</f>
        <v>5</v>
      </c>
      <c r="T9" s="206">
        <f>INDEX(Facilitietenprofielen!M:M,MATCH($J9,Facilitietenprofielen!$A:$A,0))</f>
        <v>510</v>
      </c>
      <c r="U9" s="206">
        <f>INDEX(Facilitietenprofielen!N:N,MATCH($J9,Facilitietenprofielen!$A:$A,0))</f>
        <v>102</v>
      </c>
      <c r="V9" s="206">
        <f>INDEX(Facilitietenprofielen!V:V,MATCH($J9,Facilitietenprofielen!$A:$A,0))</f>
        <v>1</v>
      </c>
      <c r="W9" s="206">
        <f>INDEX(Facilitietenprofielen!W:W,MATCH($J9,Facilitietenprofielen!$A:$A,0))</f>
        <v>1</v>
      </c>
      <c r="X9" s="206">
        <f>INDEX(Facilitietenprofielen!O:O,MATCH($J9,Facilitietenprofielen!$A:$A,0))</f>
        <v>1</v>
      </c>
      <c r="Y9" s="206">
        <f>INDEX(Facilitietenprofielen!P:P,MATCH($J9,Facilitietenprofielen!$A:$A,0))</f>
        <v>1</v>
      </c>
      <c r="Z9" s="206">
        <f>INDEX(Facilitietenprofielen!Q:Q,MATCH($J9,Facilitietenprofielen!$A:$A,0))</f>
        <v>1</v>
      </c>
      <c r="AA9" s="206">
        <f>INDEX(Facilitietenprofielen!R:R,MATCH($J9,Facilitietenprofielen!$A:$A,0))</f>
        <v>1</v>
      </c>
      <c r="AB9" s="206">
        <f>INDEX(Facilitietenprofielen!S:S,MATCH($J9,Facilitietenprofielen!$A:$A,0))</f>
        <v>1</v>
      </c>
      <c r="AC9" s="206">
        <f>INDEX(Facilitietenprofielen!T:T,MATCH($J9,Facilitietenprofielen!$A:$A,0))</f>
        <v>1</v>
      </c>
      <c r="AD9" s="206">
        <f>INDEX(Facilitietenprofielen!U:U,MATCH($J9,Facilitietenprofielen!$A:$A,0))</f>
        <v>1</v>
      </c>
      <c r="AE9" s="206">
        <f>INDEX(Facilitietenprofielen!Y:Y,MATCH($J9,Facilitietenprofielen!$A:$A,0))</f>
        <v>1</v>
      </c>
      <c r="AF9" s="206">
        <f>INDEX(Facilitietenprofielen!Z:Z,MATCH($J9,Facilitietenprofielen!$A:$A,0))</f>
        <v>1</v>
      </c>
      <c r="AG9" s="206">
        <f>INDEX(Facilitietenprofielen!AA:AA,MATCH($J9,Facilitietenprofielen!$A:$A,0))</f>
        <v>1</v>
      </c>
      <c r="AH9" s="206">
        <f>INDEX(Facilitietenprofielen!AB:AB,MATCH($J9,Facilitietenprofielen!$A:$A,0))</f>
        <v>1</v>
      </c>
      <c r="AI9" s="206">
        <f>INDEX(Facilitietenprofielen!AC:AC,MATCH($J9,Facilitietenprofielen!$A:$A,0))</f>
        <v>1</v>
      </c>
      <c r="AJ9" s="206">
        <f>INDEX(Facilitietenprofielen!AD:AD,MATCH($J9,Facilitietenprofielen!$A:$A,0))</f>
        <v>1</v>
      </c>
      <c r="AK9" s="206">
        <f>INDEX(Facilitietenprofielen!AE:AE,MATCH($J9,Facilitietenprofielen!$A:$A,0))</f>
        <v>1</v>
      </c>
      <c r="AL9" s="206">
        <f>INDEX(Facilitietenprofielen!AF:AF,MATCH($J9,Facilitietenprofielen!$A:$A,0))</f>
        <v>1</v>
      </c>
      <c r="AM9" s="206">
        <f>INDEX(Facilitietenprofielen!AG:AG,MATCH($J9,Facilitietenprofielen!$A:$A,0))</f>
        <v>1</v>
      </c>
      <c r="AN9" s="206">
        <f>INDEX(Facilitietenprofielen!AH:AH,MATCH($J9,Facilitietenprofielen!$A:$A,0))</f>
        <v>1</v>
      </c>
      <c r="AO9" s="206">
        <f>INDEX(Facilitietenprofielen!AI:AI,MATCH($J9,Facilitietenprofielen!$A:$A,0))</f>
        <v>1</v>
      </c>
      <c r="AP9" s="206">
        <f>INDEX(Facilitietenprofielen!AJ:AJ,MATCH($J9,Facilitietenprofielen!$A:$A,0))</f>
        <v>1</v>
      </c>
      <c r="AQ9" s="206">
        <f>INDEX(Facilitietenprofielen!AK:AK,MATCH($J9,Facilitietenprofielen!$A:$A,0))</f>
        <v>1</v>
      </c>
      <c r="AR9" s="206">
        <f>INDEX(Facilitietenprofielen!AL:AL,MATCH($J9,Facilitietenprofielen!$A:$A,0))</f>
        <v>1</v>
      </c>
      <c r="AS9" s="206">
        <f>INDEX(Facilitietenprofielen!AM:AM,MATCH($J9,Facilitietenprofielen!$A:$A,0))</f>
        <v>1</v>
      </c>
      <c r="AT9" s="206">
        <f>INDEX(Facilitietenprofielen!AN:AN,MATCH($J9,Facilitietenprofielen!$A:$A,0))</f>
        <v>1</v>
      </c>
      <c r="AU9" s="206">
        <f>INDEX(Facilitietenprofielen!AO:AO,MATCH($J9,Facilitietenprofielen!$A:$A,0))</f>
        <v>1</v>
      </c>
      <c r="AV9" s="207">
        <f>INDEX(Facilitietenprofielen!AP:AP,MATCH($J9,Facilitietenprofielen!$A:$A,0))</f>
        <v>1</v>
      </c>
      <c r="AW9" s="206">
        <f>INDEX('Rekenblad Aansluiting'!$O:$O,MATCH($G9&amp;" "&amp;$E9&amp;BE$3&amp;$H9,'Rekenblad Aansluiting'!$A:$A,0))</f>
        <v>102.77777777777777</v>
      </c>
      <c r="AX9" s="206">
        <f>INDEX('Rekenblad Aansluiting'!$O:$O,MATCH($G9&amp;" "&amp;$E9&amp;BF$3&amp;$H9,'Rekenblad Aansluiting'!$A:$A,0))</f>
        <v>102.77777777777777</v>
      </c>
      <c r="AY9" s="206">
        <f>INDEX('Rekenblad Aansluiting'!$O:$O,MATCH($G9&amp;" "&amp;$E9&amp;BG$3&amp;$H9,'Rekenblad Aansluiting'!$A:$A,0))</f>
        <v>102.77777777777777</v>
      </c>
      <c r="AZ9" s="206">
        <f>INDEX('Rekenblad Aansluiting'!$O:$O,MATCH($G9&amp;" "&amp;$E9&amp;BH$3&amp;$H9,'Rekenblad Aansluiting'!$A:$A,0))</f>
        <v>102.77777777777777</v>
      </c>
      <c r="BA9" s="206">
        <f>INDEX('Rekenblad Aansluiting'!$O:$O,MATCH($G9&amp;" "&amp;$E9&amp;BI$3&amp;$H9,'Rekenblad Aansluiting'!$A:$A,0))</f>
        <v>102.77777777777777</v>
      </c>
      <c r="BB9" s="206">
        <f>INDEX('Rekenblad Aansluiting'!$O:$O,MATCH($G9&amp;" "&amp;$E9&amp;BJ$3&amp;$H9,'Rekenblad Aansluiting'!$A:$A,0))</f>
        <v>102.77777777777777</v>
      </c>
      <c r="BC9" s="206">
        <f>INDEX('Rekenblad Aansluiting'!$O:$O,MATCH($G9&amp;" "&amp;$E9&amp;BK$3&amp;$H9,'Rekenblad Aansluiting'!$A:$A,0))</f>
        <v>102.77777777777777</v>
      </c>
      <c r="BD9" s="206">
        <f t="shared" si="5"/>
        <v>4625</v>
      </c>
      <c r="BE9" s="212">
        <f>INDEX('Rekenblad Aansluiting'!$X:$X,MATCH($G9&amp;" "&amp;$E9&amp;BE$3&amp;$H9,'Rekenblad Aansluiting'!$A:$A,0))</f>
        <v>78.617966949999996</v>
      </c>
      <c r="BF9" s="213">
        <f>INDEX('Rekenblad Aansluiting'!$X:$X,MATCH($G9&amp;" "&amp;$E9&amp;BF$3&amp;$H9,'Rekenblad Aansluiting'!$A:$A,0))</f>
        <v>78.617966949999996</v>
      </c>
      <c r="BG9" s="213">
        <f>INDEX('Rekenblad Aansluiting'!$X:$X,MATCH($G9&amp;" "&amp;$E9&amp;BG$3&amp;$H9,'Rekenblad Aansluiting'!$A:$A,0))</f>
        <v>78.617966949999996</v>
      </c>
      <c r="BH9" s="213">
        <f>INDEX('Rekenblad Aansluiting'!$X:$X,MATCH($G9&amp;" "&amp;$E9&amp;BH$3&amp;$H9,'Rekenblad Aansluiting'!$A:$A,0))</f>
        <v>68.579043694444437</v>
      </c>
      <c r="BI9" s="213">
        <f>INDEX('Rekenblad Aansluiting'!$X:$X,MATCH($G9&amp;" "&amp;$E9&amp;BI$3&amp;$H9,'Rekenblad Aansluiting'!$A:$A,0))</f>
        <v>68.579043694444437</v>
      </c>
      <c r="BJ9" s="213">
        <f>INDEX('Rekenblad Aansluiting'!$X:$X,MATCH($G9&amp;" "&amp;$E9&amp;BJ$3&amp;$H9,'Rekenblad Aansluiting'!$A:$A,0))</f>
        <v>68.579043694444437</v>
      </c>
      <c r="BK9" s="213">
        <f>INDEX('Rekenblad Aansluiting'!$X:$X,MATCH($G9&amp;" "&amp;$E9&amp;BK$3&amp;$H9,'Rekenblad Aansluiting'!$A:$A,0))</f>
        <v>87.868888888888875</v>
      </c>
      <c r="BL9" s="223">
        <f t="shared" si="0"/>
        <v>3433.4792736111103</v>
      </c>
      <c r="BM9" s="129">
        <f>IF(ISNA(INDEX('Tarieven ZM'!$G:$G,MATCH($G9&amp;BM$3,'Tarieven ZM'!$B:$B,0))),0,INDEX('Tarieven ZM'!$G:$G,MATCH($G9&amp;BM$3,'Tarieven ZM'!$B:$B,0)))</f>
        <v>100</v>
      </c>
      <c r="BN9" s="133">
        <f>IF(ISNA(INDEX('Tarieven ZM'!$G:$G,MATCH($G9&amp;BN$3,'Tarieven ZM'!$B:$B,0))),0,INDEX('Tarieven ZM'!$G:$G,MATCH($G9&amp;BN$3,'Tarieven ZM'!$B:$B,0)))</f>
        <v>100</v>
      </c>
      <c r="BO9" s="133">
        <f>IF(ISNA(INDEX('Tarieven ZM'!$G:$G,MATCH($G9&amp;BO$3,'Tarieven ZM'!$B:$B,0))),0,INDEX('Tarieven ZM'!$G:$G,MATCH($G9&amp;BO$3,'Tarieven ZM'!$B:$B,0)))</f>
        <v>100</v>
      </c>
      <c r="BP9" s="133">
        <f>IF(ISNA(INDEX('Tarieven ZM'!$G:$G,MATCH($G9&amp;BP$3,'Tarieven ZM'!$B:$B,0))),0,INDEX('Tarieven ZM'!$G:$G,MATCH($G9&amp;BP$3,'Tarieven ZM'!$B:$B,0)))</f>
        <v>100</v>
      </c>
      <c r="BQ9" s="133">
        <f>IF(ISNA(INDEX('Tarieven ZM'!$G:$G,MATCH($G9&amp;BQ$3,'Tarieven ZM'!$B:$B,0))),0,INDEX('Tarieven ZM'!$G:$G,MATCH($G9&amp;BQ$3,'Tarieven ZM'!$B:$B,0)))</f>
        <v>100</v>
      </c>
      <c r="BR9" s="133">
        <f>IF(ISNA(INDEX('Tarieven ZM'!$G:$G,MATCH($G9&amp;BR$3,'Tarieven ZM'!$B:$B,0))),0,INDEX('Tarieven ZM'!$G:$G,MATCH($G9&amp;BR$3,'Tarieven ZM'!$B:$B,0)))</f>
        <v>100</v>
      </c>
      <c r="BS9" s="133">
        <f>IF(ISNA(INDEX('Tarieven ZM'!$G:$G,MATCH($G9&amp;BS$3,'Tarieven ZM'!$B:$B,0))),0,INDEX('Tarieven ZM'!$G:$G,MATCH($G9&amp;BS$3,'Tarieven ZM'!$B:$B,0)))</f>
        <v>0</v>
      </c>
      <c r="BT9" s="133">
        <f>IF(ISNA(INDEX('Tarieven ZM'!$G:$G,MATCH($G9&amp;BT$3,'Tarieven ZM'!$B:$B,0))),0,INDEX('Tarieven ZM'!$G:$G,MATCH($G9&amp;BT$3,'Tarieven ZM'!$B:$B,0)))</f>
        <v>0</v>
      </c>
      <c r="BU9" s="133">
        <f>IF(ISNA(INDEX('Tarieven ZM'!$G:$G,MATCH($G9&amp;BU$3,'Tarieven ZM'!$B:$B,0))),0,INDEX('Tarieven ZM'!$G:$G,MATCH($G9&amp;BU$3,'Tarieven ZM'!$B:$B,0)))</f>
        <v>0</v>
      </c>
      <c r="BV9" s="133">
        <f>IF(ISNA(INDEX('Tarieven ZM'!$G:$G,MATCH($G9&amp;BV$3,'Tarieven ZM'!$B:$B,0))),0,INDEX('Tarieven ZM'!$G:$G,MATCH($G9&amp;BV$3,'Tarieven ZM'!$B:$B,0)))</f>
        <v>0</v>
      </c>
      <c r="BW9" s="133">
        <f>IF(ISNA(INDEX('Tarieven ZM'!$G:$G,MATCH($G9&amp;BW$3,'Tarieven ZM'!$B:$B,0))),0,INDEX('Tarieven ZM'!$G:$G,MATCH($G9&amp;BW$3,'Tarieven ZM'!$B:$B,0)))</f>
        <v>0</v>
      </c>
      <c r="BX9" s="133">
        <f>IF(ISNA(INDEX('Tarieven ZM'!$G:$G,MATCH($G9&amp;BX$3,'Tarieven ZM'!$B:$B,0))),0,INDEX('Tarieven ZM'!$G:$G,MATCH($G9&amp;BX$3,'Tarieven ZM'!$B:$B,0)))</f>
        <v>0</v>
      </c>
      <c r="BY9" s="133">
        <f>IF(ISNA(INDEX('Tarieven ZM'!$G:$G,MATCH($G9&amp;BY$3,'Tarieven ZM'!$B:$B,0))),0,INDEX('Tarieven ZM'!$G:$G,MATCH($G9&amp;BY$3,'Tarieven ZM'!$B:$B,0)))</f>
        <v>0</v>
      </c>
      <c r="BZ9" s="133">
        <f>IF(ISNA(INDEX('Tarieven ZM'!$G:$G,MATCH($G9&amp;BZ$3,'Tarieven ZM'!$B:$B,0))),0,INDEX('Tarieven ZM'!$G:$G,MATCH($G9&amp;BZ$3,'Tarieven ZM'!$B:$B,0)))</f>
        <v>0</v>
      </c>
      <c r="CA9" s="133">
        <f>IF(ISNA(INDEX('Tarieven ZM'!$G:$G,MATCH($G9&amp;CA$3,'Tarieven ZM'!$B:$B,0))),0,INDEX('Tarieven ZM'!$G:$G,MATCH($G9&amp;CA$3,'Tarieven ZM'!$B:$B,0)))</f>
        <v>0</v>
      </c>
      <c r="CB9" s="133">
        <f>IF(ISNA(INDEX('Tarieven ZM'!$G:$G,MATCH($G9&amp;CB$3,'Tarieven ZM'!$B:$B,0))),0,INDEX('Tarieven ZM'!$G:$G,MATCH($G9&amp;CB$3,'Tarieven ZM'!$B:$B,0)))</f>
        <v>0</v>
      </c>
      <c r="CC9" s="133">
        <f>IF(ISNA(INDEX('Tarieven ZM'!$G:$G,MATCH($G9&amp;CC$3,'Tarieven ZM'!$B:$B,0))),0,INDEX('Tarieven ZM'!$G:$G,MATCH($G9&amp;CC$3,'Tarieven ZM'!$B:$B,0)))</f>
        <v>0</v>
      </c>
      <c r="CD9" s="133">
        <f>IF(ISNA(INDEX('Tarieven ZM'!$G:$G,MATCH($G9&amp;CD$3,'Tarieven ZM'!$B:$B,0))),0,INDEX('Tarieven ZM'!$G:$G,MATCH($G9&amp;CD$3,'Tarieven ZM'!$B:$B,0)))</f>
        <v>0</v>
      </c>
      <c r="CE9" s="133">
        <f>IF(ISNA(INDEX('Tarieven ZM'!$G:$G,MATCH($G9&amp;CE$3,'Tarieven ZM'!$B:$B,0))),0,INDEX('Tarieven ZM'!$G:$G,MATCH($G9&amp;CE$3,'Tarieven ZM'!$B:$B,0)))</f>
        <v>0</v>
      </c>
      <c r="CF9" s="133">
        <f>IF(ISNA(INDEX('Tarieven ZM'!$G:$G,MATCH($G9&amp;CF$3,'Tarieven ZM'!$B:$B,0))),0,INDEX('Tarieven ZM'!$G:$G,MATCH($G9&amp;CF$3,'Tarieven ZM'!$B:$B,0)))</f>
        <v>0</v>
      </c>
      <c r="CG9" s="133">
        <f>IF(ISNA(INDEX('Tarieven ZM'!$G:$G,MATCH($G9&amp;CG$3,'Tarieven ZM'!$B:$B,0))),0,INDEX('Tarieven ZM'!$G:$G,MATCH($G9&amp;CG$3,'Tarieven ZM'!$B:$B,0)))</f>
        <v>0</v>
      </c>
      <c r="CH9" s="133">
        <f>IF(ISNA(INDEX('Tarieven ZM'!$G:$G,MATCH($G9&amp;CH$3,'Tarieven ZM'!$B:$B,0))),0,INDEX('Tarieven ZM'!$G:$G,MATCH($G9&amp;CH$3,'Tarieven ZM'!$B:$B,0)))</f>
        <v>0</v>
      </c>
      <c r="CI9" s="133">
        <f>IF(ISNA(INDEX('Tarieven ZM'!$G:$G,MATCH($G9&amp;CI$3,'Tarieven ZM'!$B:$B,0))),0,INDEX('Tarieven ZM'!$G:$G,MATCH($G9&amp;CI$3,'Tarieven ZM'!$B:$B,0)))</f>
        <v>0</v>
      </c>
      <c r="CJ9" s="133">
        <f>IF(ISNA(INDEX('Tarieven ZM'!$G:$G,MATCH($G9&amp;CJ$3,'Tarieven ZM'!$B:$B,0))),0,INDEX('Tarieven ZM'!$G:$G,MATCH($G9&amp;CJ$3,'Tarieven ZM'!$B:$B,0)))</f>
        <v>0</v>
      </c>
      <c r="CK9" s="120">
        <f>IF(ISNA(INDEX('Tarieven ZM'!$G:$G,MATCH($G9&amp;CK$3,'Tarieven ZM'!$B:$B,0))),0,INDEX('Tarieven ZM'!$G:$G,MATCH($G9&amp;CK$3,'Tarieven ZM'!$B:$B,0)))</f>
        <v>0</v>
      </c>
      <c r="CL9" s="129">
        <f>IF(ISNA(INDEX('Tarieven ZM'!$H:$H,MATCH($G9&amp;CL$3,'Tarieven ZM'!$B:$B,0))),0,INDEX('Tarieven ZM'!$H:$H,MATCH($G9&amp;CL$3,'Tarieven ZM'!$B:$B,0)))</f>
        <v>1000</v>
      </c>
      <c r="CM9" s="133">
        <f>IF(ISNA(INDEX('Tarieven ZM'!$H:$H,MATCH($G9&amp;CM$3,'Tarieven ZM'!$B:$B,0))),0,INDEX('Tarieven ZM'!$H:$H,MATCH($G9&amp;CM$3,'Tarieven ZM'!$B:$B,0)))</f>
        <v>1000</v>
      </c>
      <c r="CN9" s="133">
        <f>IF(ISNA(INDEX('Tarieven ZM'!$H:$H,MATCH($G9&amp;CN$3,'Tarieven ZM'!$B:$B,0))),0,INDEX('Tarieven ZM'!$H:$H,MATCH($G9&amp;CN$3,'Tarieven ZM'!$B:$B,0)))</f>
        <v>1000</v>
      </c>
      <c r="CO9" s="133">
        <f>IF(ISNA(INDEX('Tarieven ZM'!$H:$H,MATCH($G9&amp;CO$3,'Tarieven ZM'!$B:$B,0))),0,INDEX('Tarieven ZM'!$H:$H,MATCH($G9&amp;CO$3,'Tarieven ZM'!$B:$B,0)))</f>
        <v>1000</v>
      </c>
      <c r="CP9" s="133">
        <f>IF(ISNA(INDEX('Tarieven ZM'!$H:$H,MATCH($G9&amp;CP$3,'Tarieven ZM'!$B:$B,0))),0,INDEX('Tarieven ZM'!$H:$H,MATCH($G9&amp;CP$3,'Tarieven ZM'!$B:$B,0)))</f>
        <v>1000</v>
      </c>
      <c r="CQ9" s="133">
        <f>IF(ISNA(INDEX('Tarieven ZM'!$H:$H,MATCH($G9&amp;CQ$3,'Tarieven ZM'!$B:$B,0))),0,INDEX('Tarieven ZM'!$H:$H,MATCH($G9&amp;CQ$3,'Tarieven ZM'!$B:$B,0)))</f>
        <v>1000</v>
      </c>
      <c r="CR9" s="133">
        <f>IF(ISNA(INDEX('Tarieven ZM'!$H:$H,MATCH($G9&amp;CR$3,'Tarieven ZM'!$B:$B,0))),0,INDEX('Tarieven ZM'!$H:$H,MATCH($G9&amp;CR$3,'Tarieven ZM'!$B:$B,0)))</f>
        <v>1000</v>
      </c>
      <c r="CS9" s="133">
        <f>IF(ISNA(INDEX('Tarieven ZM'!$H:$H,MATCH($G9&amp;CS$3,'Tarieven ZM'!$B:$B,0))),0,INDEX('Tarieven ZM'!$H:$H,MATCH($G9&amp;CS$3,'Tarieven ZM'!$B:$B,0)))</f>
        <v>0</v>
      </c>
      <c r="CT9" s="133">
        <f>IF(ISNA(INDEX('Tarieven ZM'!$H:$H,MATCH($G9&amp;CT$3,'Tarieven ZM'!$B:$B,0))),0,INDEX('Tarieven ZM'!$H:$H,MATCH($G9&amp;CT$3,'Tarieven ZM'!$B:$B,0)))</f>
        <v>0</v>
      </c>
      <c r="CU9" s="133">
        <f>IF(ISNA(INDEX('Tarieven ZM'!$H:$H,MATCH($G9&amp;CU$3,'Tarieven ZM'!$B:$B,0))),0,INDEX('Tarieven ZM'!$H:$H,MATCH($G9&amp;CU$3,'Tarieven ZM'!$B:$B,0)))</f>
        <v>0</v>
      </c>
      <c r="CV9" s="133">
        <f>IF(ISNA(INDEX('Tarieven ZM'!$H:$H,MATCH($G9&amp;CV$3,'Tarieven ZM'!$B:$B,0))),0,INDEX('Tarieven ZM'!$H:$H,MATCH($G9&amp;CV$3,'Tarieven ZM'!$B:$B,0)))</f>
        <v>0</v>
      </c>
      <c r="CW9" s="133">
        <f>IF(ISNA(INDEX('Tarieven ZM'!$H:$H,MATCH($G9&amp;CW$3,'Tarieven ZM'!$B:$B,0))),0,INDEX('Tarieven ZM'!$H:$H,MATCH($G9&amp;CW$3,'Tarieven ZM'!$B:$B,0)))</f>
        <v>0</v>
      </c>
      <c r="CX9" s="133">
        <f>IF(ISNA(INDEX('Tarieven ZM'!$H:$H,MATCH($G9&amp;CX$3,'Tarieven ZM'!$B:$B,0))),0,INDEX('Tarieven ZM'!$H:$H,MATCH($G9&amp;CX$3,'Tarieven ZM'!$B:$B,0)))</f>
        <v>0</v>
      </c>
      <c r="CY9" s="133">
        <f>IF(ISNA(INDEX('Tarieven ZM'!$H:$H,MATCH($G9&amp;CY$3,'Tarieven ZM'!$B:$B,0))),0,INDEX('Tarieven ZM'!$H:$H,MATCH($G9&amp;CY$3,'Tarieven ZM'!$B:$B,0)))</f>
        <v>0</v>
      </c>
      <c r="CZ9" s="133">
        <f>IF(ISNA(INDEX('Tarieven ZM'!$H:$H,MATCH($G9&amp;CZ$3,'Tarieven ZM'!$B:$B,0))),0,INDEX('Tarieven ZM'!$H:$H,MATCH($G9&amp;CZ$3,'Tarieven ZM'!$B:$B,0)))</f>
        <v>0</v>
      </c>
      <c r="DA9" s="133">
        <f>IF(ISNA(INDEX('Tarieven ZM'!$H:$H,MATCH($G9&amp;DA$3,'Tarieven ZM'!$B:$B,0))),0,INDEX('Tarieven ZM'!$H:$H,MATCH($G9&amp;DA$3,'Tarieven ZM'!$B:$B,0)))</f>
        <v>0</v>
      </c>
      <c r="DB9" s="133">
        <f>IF(ISNA(INDEX('Tarieven ZM'!$H:$H,MATCH($G9&amp;DB$3,'Tarieven ZM'!$B:$B,0))),0,INDEX('Tarieven ZM'!$H:$H,MATCH($G9&amp;DB$3,'Tarieven ZM'!$B:$B,0)))</f>
        <v>0</v>
      </c>
      <c r="DC9" s="133">
        <f>IF(ISNA(INDEX('Tarieven ZM'!$H:$H,MATCH($G9&amp;DC$3,'Tarieven ZM'!$B:$B,0))),0,INDEX('Tarieven ZM'!$H:$H,MATCH($G9&amp;DC$3,'Tarieven ZM'!$B:$B,0)))</f>
        <v>0</v>
      </c>
      <c r="DD9" s="133">
        <f>IF(ISNA(INDEX('Tarieven ZM'!$H:$H,MATCH($G9&amp;DD$3,'Tarieven ZM'!$B:$B,0))),0,INDEX('Tarieven ZM'!$H:$H,MATCH($G9&amp;DD$3,'Tarieven ZM'!$B:$B,0)))</f>
        <v>1000</v>
      </c>
      <c r="DE9" s="133">
        <f>IF(ISNA(INDEX('Tarieven ZM'!$H:$H,MATCH($G9&amp;DE$3,'Tarieven ZM'!$B:$B,0))),0,INDEX('Tarieven ZM'!$H:$H,MATCH($G9&amp;DE$3,'Tarieven ZM'!$B:$B,0)))</f>
        <v>0</v>
      </c>
      <c r="DF9" s="133">
        <f>IF(ISNA(INDEX('Tarieven ZM'!$H:$H,MATCH($G9&amp;DF$3,'Tarieven ZM'!$B:$B,0))),0,INDEX('Tarieven ZM'!$H:$H,MATCH($G9&amp;DF$3,'Tarieven ZM'!$B:$B,0)))</f>
        <v>0</v>
      </c>
      <c r="DG9" s="133">
        <f>IF(ISNA(INDEX('Tarieven ZM'!$H:$H,MATCH($G9&amp;DG$3,'Tarieven ZM'!$B:$B,0))),0,INDEX('Tarieven ZM'!$H:$H,MATCH($G9&amp;DG$3,'Tarieven ZM'!$B:$B,0)))</f>
        <v>0</v>
      </c>
      <c r="DH9" s="133">
        <f>IF(ISNA(INDEX('Tarieven ZM'!$H:$H,MATCH($G9&amp;DH$3,'Tarieven ZM'!$B:$B,0))),0,INDEX('Tarieven ZM'!$H:$H,MATCH($G9&amp;DH$3,'Tarieven ZM'!$B:$B,0)))</f>
        <v>0</v>
      </c>
      <c r="DI9" s="133">
        <f>IF(ISNA(INDEX('Tarieven ZM'!$H:$H,MATCH($G9&amp;DI$3,'Tarieven ZM'!$B:$B,0))),0,INDEX('Tarieven ZM'!$H:$H,MATCH($G9&amp;DI$3,'Tarieven ZM'!$B:$B,0)))</f>
        <v>0</v>
      </c>
      <c r="DJ9" s="120">
        <f>IF(ISNA(INDEX('Tarieven ZM'!$H:$H,MATCH($G9&amp;DJ$3,'Tarieven ZM'!$B:$B,0))),0,INDEX('Tarieven ZM'!$H:$H,MATCH($G9&amp;DJ$3,'Tarieven ZM'!$B:$B,0)))</f>
        <v>1000</v>
      </c>
      <c r="DK9" s="212">
        <f t="shared" si="6"/>
        <v>601</v>
      </c>
      <c r="DL9" s="142">
        <f>SUMPRODUCT($X9:$AV9,CL9:DJ9)/Parameters!$B$9</f>
        <v>250</v>
      </c>
      <c r="DM9" s="157">
        <f t="shared" si="7"/>
        <v>851</v>
      </c>
      <c r="DN9" s="129">
        <f>INDEX(WLR!$J:$J,MATCH(DN$4,WLR!$A:$A,0))</f>
        <v>10.39</v>
      </c>
      <c r="DO9" s="133">
        <f>INDEX(WLR!$J:$J,MATCH(DO$4,WLR!$A:$A,0))</f>
        <v>10.39</v>
      </c>
      <c r="DP9" s="133">
        <f>INDEX(WLR!$J:$J,MATCH(DP$4,WLR!$A:$A,0))</f>
        <v>62.94</v>
      </c>
      <c r="DQ9" s="133">
        <f>INDEX(WLR!$J:$J,MATCH(DQ$4,WLR!$A:$A,0))</f>
        <v>62.94</v>
      </c>
      <c r="DR9" s="133">
        <f>INDEX(WLR!$J:$J,MATCH(DR$4,WLR!$A:$A,0))</f>
        <v>494.44</v>
      </c>
      <c r="DS9" s="133">
        <f>INDEX(WLR!$J:$J,MATCH(DS$4,WLR!$A:$A,0))</f>
        <v>494.44</v>
      </c>
      <c r="DT9" s="133">
        <f>INDEX(WLR!$J:$J,MATCH(DT$4,WLR!$A:$A,0))</f>
        <v>3510.28</v>
      </c>
      <c r="DU9" s="133">
        <f>INDEX(WLR!$J:$J,MATCH(DU$4,WLR!$A:$A,0))</f>
        <v>1.19</v>
      </c>
      <c r="DV9" s="133">
        <f>INDEX(WLR!$J:$J,MATCH(DV$4,WLR!$A:$A,0))</f>
        <v>29.43</v>
      </c>
      <c r="DW9" s="133">
        <f>INDEX(WLR!$J:$J,MATCH(DW$4,WLR!$A:$A,0))</f>
        <v>192.45</v>
      </c>
      <c r="DX9" s="133">
        <f>INDEX(WLR!$J:$J,MATCH(DX$4,WLR!$A:$A,0))</f>
        <v>9.8000000000000007</v>
      </c>
      <c r="DY9" s="133">
        <f>INDEX(WLR!$J:$J,MATCH(DY$4,WLR!$A:$A,0))</f>
        <v>34.950000000000003</v>
      </c>
      <c r="DZ9" s="133">
        <f>INDEX(WLR!$J:$J,MATCH(DZ$4,WLR!$A:$A,0))</f>
        <v>34.950000000000003</v>
      </c>
      <c r="EA9" s="133">
        <f>INDEX(WLR!$J:$J,MATCH(EA$4,WLR!$A:$A,0))</f>
        <v>2.08</v>
      </c>
      <c r="EB9" s="133">
        <f>INDEX(WLR!$J:$J,MATCH(EB$4,WLR!$A:$A,0))</f>
        <v>1.97</v>
      </c>
      <c r="EC9" s="133">
        <f>INDEX(WLR!$J:$J,MATCH(EC$4,WLR!$A:$A,0))</f>
        <v>1.97</v>
      </c>
      <c r="ED9" s="133">
        <f>INDEX(WLR!$J:$J,MATCH(ED$4,WLR!$A:$A,0))</f>
        <v>0</v>
      </c>
      <c r="EE9" s="133">
        <f>INDEX(WLR!$J:$J,MATCH(EE$4,WLR!$A:$A,0))</f>
        <v>0</v>
      </c>
      <c r="EF9" s="133">
        <f>INDEX(WLR!$J:$J,MATCH(EF$4,WLR!$A:$A,0))</f>
        <v>0.96</v>
      </c>
      <c r="EG9" s="133">
        <f>INDEX(WLR!$J:$J,MATCH(EG$4,WLR!$A:$A,0))</f>
        <v>4.53</v>
      </c>
      <c r="EH9" s="133">
        <f>INDEX(WLR!$J:$J,MATCH(EH$4,WLR!$A:$A,0))</f>
        <v>4.53</v>
      </c>
      <c r="EI9" s="133">
        <f>INDEX(WLR!$J:$J,MATCH(EI$4,WLR!$A:$A,0))</f>
        <v>7.58</v>
      </c>
      <c r="EJ9" s="133">
        <f>INDEX(WLR!$J:$J,MATCH(EJ$4,WLR!$A:$A,0))</f>
        <v>31.11</v>
      </c>
      <c r="EK9" s="133">
        <f>INDEX(WLR!$J:$J,MATCH(EK$4,WLR!$A:$A,0))</f>
        <v>31.11</v>
      </c>
      <c r="EL9" s="120">
        <f>INDEX(WLR!$J:$J,MATCH(EL$4,WLR!$A:$A,0))</f>
        <v>0.96</v>
      </c>
      <c r="EM9" s="129">
        <f>INDEX(WLR!$I:$I,MATCH(EM$4,WLR!$A:$A,0))</f>
        <v>0</v>
      </c>
      <c r="EN9" s="133">
        <f>INDEX(WLR!$I:$I,MATCH(EN$4,WLR!$A:$A,0))</f>
        <v>16.21</v>
      </c>
      <c r="EO9" s="133">
        <f>INDEX(WLR!$I:$I,MATCH(EO$4,WLR!$A:$A,0))</f>
        <v>0</v>
      </c>
      <c r="EP9" s="133">
        <f>INDEX(WLR!$I:$I,MATCH(EP$4,WLR!$A:$A,0))</f>
        <v>16.21</v>
      </c>
      <c r="EQ9" s="133">
        <f>INDEX(WLR!$I:$I,MATCH(EQ$4,WLR!$A:$A,0))</f>
        <v>0</v>
      </c>
      <c r="ER9" s="133">
        <f>INDEX(WLR!$I:$I,MATCH(ER$4,WLR!$A:$A,0))</f>
        <v>16.21</v>
      </c>
      <c r="ES9" s="133">
        <f>INDEX(WLR!$I:$I,MATCH(ES$4,WLR!$A:$A,0))</f>
        <v>0</v>
      </c>
      <c r="ET9" s="133">
        <f>INDEX(WLR!$I:$I,MATCH(ET$4,WLR!$A:$A,0))</f>
        <v>82.82</v>
      </c>
      <c r="EU9" s="133">
        <f>INDEX(WLR!$I:$I,MATCH(EU$4,WLR!$A:$A,0))</f>
        <v>748.42</v>
      </c>
      <c r="EV9" s="133">
        <f>INDEX(WLR!$I:$I,MATCH(EV$4,WLR!$A:$A,0))</f>
        <v>1282.99</v>
      </c>
      <c r="EW9" s="133">
        <f>INDEX(WLR!$I:$I,MATCH(EW$4,WLR!$A:$A,0))</f>
        <v>16.21</v>
      </c>
      <c r="EX9" s="133">
        <f>INDEX(WLR!$I:$I,MATCH(EX$4,WLR!$A:$A,0))</f>
        <v>79.94</v>
      </c>
      <c r="EY9" s="133">
        <f>INDEX(WLR!$I:$I,MATCH(EY$4,WLR!$A:$A,0))</f>
        <v>839.48</v>
      </c>
      <c r="EZ9" s="133">
        <f>INDEX(WLR!$I:$I,MATCH(EZ$4,WLR!$A:$A,0))</f>
        <v>32.950000000000003</v>
      </c>
      <c r="FA9" s="133">
        <f>INDEX(WLR!$I:$I,MATCH(FA$4,WLR!$A:$A,0))</f>
        <v>16.21</v>
      </c>
      <c r="FB9" s="133">
        <f>INDEX(WLR!$I:$I,MATCH(FB$4,WLR!$A:$A,0))</f>
        <v>16.21</v>
      </c>
      <c r="FC9" s="133">
        <f>INDEX(WLR!$I:$I,MATCH(FC$4,WLR!$A:$A,0))</f>
        <v>0</v>
      </c>
      <c r="FD9" s="133">
        <f>INDEX(WLR!$I:$I,MATCH(FD$4,WLR!$A:$A,0))</f>
        <v>15.73</v>
      </c>
      <c r="FE9" s="133">
        <f>INDEX(WLR!$I:$I,MATCH(FE$4,WLR!$A:$A,0))</f>
        <v>0</v>
      </c>
      <c r="FF9" s="133">
        <f>INDEX(WLR!$I:$I,MATCH(FF$4,WLR!$A:$A,0))</f>
        <v>0</v>
      </c>
      <c r="FG9" s="133">
        <f>INDEX(WLR!$I:$I,MATCH(FG$4,WLR!$A:$A,0))</f>
        <v>0</v>
      </c>
      <c r="FH9" s="133">
        <f>INDEX(WLR!$I:$I,MATCH(FH$4,WLR!$A:$A,0))</f>
        <v>15.73</v>
      </c>
      <c r="FI9" s="133">
        <f>INDEX(WLR!$I:$I,MATCH(FI$4,WLR!$A:$A,0))</f>
        <v>40.06</v>
      </c>
      <c r="FJ9" s="133">
        <f>INDEX(WLR!$I:$I,MATCH(FJ$4,WLR!$A:$A,0))</f>
        <v>40.06</v>
      </c>
      <c r="FK9" s="120">
        <f>INDEX(WLR!$I:$I,MATCH(FK$4,WLR!$A:$A,0))</f>
        <v>0</v>
      </c>
      <c r="FL9" s="168">
        <f>SUMPRODUCT(X9:AV9,DN9:EL9)+V9*(1-Parameters!$B$52)</f>
        <v>5036.1899999999987</v>
      </c>
      <c r="FM9" s="213">
        <f>SUMPRODUCT(X9:AV9,EM9:FK9)/Parameters!$B$9</f>
        <v>90.984444444444435</v>
      </c>
      <c r="FN9" s="136">
        <f t="shared" si="8"/>
        <v>5127.174444444443</v>
      </c>
      <c r="FO9" s="148">
        <f>DM9*Parameters!$B$3</f>
        <v>85.100000000000009</v>
      </c>
      <c r="FP9" s="142">
        <f>IF(LEFT(G9,3)="KPN",(('Vergoedingen grondslag'!$F$11+'Vergoedingen grondslag'!$I$11+'Vergoedingen grondslag'!$L$11+'Vergoedingen grondslag'!$O$11)*DK9)+('Vergoedingen grondslag'!$O$11*DL9+'Vergoedingen grondslag'!$R$11*0+'Vergoedingen grondslag'!$U$11+'Vergoedingen grondslag'!$X$11)/36,(('Vergoedingen grondslag'!$F$20+'Vergoedingen grondslag'!$I$20+'Vergoedingen grondslag'!$L$20+'Vergoedingen grondslag'!$O$20)*DK9)+('Vergoedingen grondslag'!$O$20*DL9+'Vergoedingen grondslag'!$R$20*0+'Vergoedingen grondslag'!$U$20*0)/36)</f>
        <v>24.164999999999999</v>
      </c>
      <c r="FQ9" s="133"/>
      <c r="FR9" s="157">
        <f t="shared" si="9"/>
        <v>109.26500000000001</v>
      </c>
      <c r="FS9" s="166">
        <f t="shared" si="10"/>
        <v>5236.4394444444433</v>
      </c>
      <c r="FT9" s="168">
        <f t="shared" si="1"/>
        <v>3324.21427361111</v>
      </c>
      <c r="FU9" s="145">
        <f t="shared" si="2"/>
        <v>0.60705154740889522</v>
      </c>
      <c r="FV9" s="120" t="b">
        <f t="shared" si="11"/>
        <v>0</v>
      </c>
      <c r="FW9" s="331" t="s">
        <v>868</v>
      </c>
    </row>
    <row r="10" spans="2:179" ht="14.4">
      <c r="B10" s="129"/>
      <c r="C10" s="120"/>
      <c r="D10" s="129" t="s">
        <v>643</v>
      </c>
      <c r="E10" s="133" t="s">
        <v>19</v>
      </c>
      <c r="F10" s="133" t="s">
        <v>466</v>
      </c>
      <c r="G10" s="133" t="s">
        <v>9</v>
      </c>
      <c r="H10" s="133" t="s">
        <v>459</v>
      </c>
      <c r="I10" s="133" t="str">
        <f t="shared" si="3"/>
        <v>KPN Zakelijk BelBasisISDN15VVE overstap</v>
      </c>
      <c r="J10" s="120" t="str">
        <f>D10&amp;F10&amp;G10</f>
        <v>n2*ISDN15KPN</v>
      </c>
      <c r="K10" s="205">
        <f>INDEX(Facilitietenprofielen!D:D,MATCH($J10,Facilitietenprofielen!$A:$A,0))</f>
        <v>5</v>
      </c>
      <c r="L10" s="206">
        <f>INDEX(Facilitietenprofielen!E:E,MATCH($J10,Facilitietenprofielen!$A:$A,0))</f>
        <v>5</v>
      </c>
      <c r="M10" s="206">
        <f>INDEX(Facilitietenprofielen!F:F,MATCH($J10,Facilitietenprofielen!$A:$A,0))</f>
        <v>5</v>
      </c>
      <c r="N10" s="206">
        <f>INDEX(Facilitietenprofielen!G:G,MATCH($J10,Facilitietenprofielen!$A:$A,0))</f>
        <v>5</v>
      </c>
      <c r="O10" s="206">
        <f>INDEX(Facilitietenprofielen!H:H,MATCH($J10,Facilitietenprofielen!$A:$A,0))</f>
        <v>5</v>
      </c>
      <c r="P10" s="206">
        <f>INDEX(Facilitietenprofielen!I:I,MATCH($J10,Facilitietenprofielen!$A:$A,0))</f>
        <v>5</v>
      </c>
      <c r="Q10" s="206">
        <f>INDEX(Facilitietenprofielen!J:J,MATCH($J10,Facilitietenprofielen!$A:$A,0))</f>
        <v>5</v>
      </c>
      <c r="R10" s="206">
        <f>INDEX(Facilitietenprofielen!K:K,MATCH($J10,Facilitietenprofielen!$A:$A,0))</f>
        <v>5</v>
      </c>
      <c r="S10" s="206">
        <f>INDEX(Facilitietenprofielen!L:L,MATCH($J10,Facilitietenprofielen!$A:$A,0))</f>
        <v>5</v>
      </c>
      <c r="T10" s="206">
        <f>INDEX(Facilitietenprofielen!M:M,MATCH($J10,Facilitietenprofielen!$A:$A,0))</f>
        <v>510</v>
      </c>
      <c r="U10" s="206">
        <f>INDEX(Facilitietenprofielen!N:N,MATCH($J10,Facilitietenprofielen!$A:$A,0))</f>
        <v>102</v>
      </c>
      <c r="V10" s="206">
        <f>INDEX(Facilitietenprofielen!V:V,MATCH($J10,Facilitietenprofielen!$A:$A,0))</f>
        <v>1</v>
      </c>
      <c r="W10" s="206">
        <f>INDEX(Facilitietenprofielen!W:W,MATCH($J10,Facilitietenprofielen!$A:$A,0))</f>
        <v>1</v>
      </c>
      <c r="X10" s="206">
        <f>INDEX(Facilitietenprofielen!O:O,MATCH($J10,Facilitietenprofielen!$A:$A,0))</f>
        <v>1</v>
      </c>
      <c r="Y10" s="206">
        <f>INDEX(Facilitietenprofielen!P:P,MATCH($J10,Facilitietenprofielen!$A:$A,0))</f>
        <v>1</v>
      </c>
      <c r="Z10" s="206">
        <f>INDEX(Facilitietenprofielen!Q:Q,MATCH($J10,Facilitietenprofielen!$A:$A,0))</f>
        <v>1</v>
      </c>
      <c r="AA10" s="206">
        <f>INDEX(Facilitietenprofielen!R:R,MATCH($J10,Facilitietenprofielen!$A:$A,0))</f>
        <v>1</v>
      </c>
      <c r="AB10" s="206">
        <f>INDEX(Facilitietenprofielen!S:S,MATCH($J10,Facilitietenprofielen!$A:$A,0))</f>
        <v>1</v>
      </c>
      <c r="AC10" s="206">
        <f>INDEX(Facilitietenprofielen!T:T,MATCH($J10,Facilitietenprofielen!$A:$A,0))</f>
        <v>1</v>
      </c>
      <c r="AD10" s="206">
        <f>INDEX(Facilitietenprofielen!U:U,MATCH($J10,Facilitietenprofielen!$A:$A,0))</f>
        <v>1</v>
      </c>
      <c r="AE10" s="206">
        <f>INDEX(Facilitietenprofielen!Y:Y,MATCH($J10,Facilitietenprofielen!$A:$A,0))</f>
        <v>1</v>
      </c>
      <c r="AF10" s="206">
        <f>INDEX(Facilitietenprofielen!Z:Z,MATCH($J10,Facilitietenprofielen!$A:$A,0))</f>
        <v>1</v>
      </c>
      <c r="AG10" s="206">
        <f>INDEX(Facilitietenprofielen!AA:AA,MATCH($J10,Facilitietenprofielen!$A:$A,0))</f>
        <v>1</v>
      </c>
      <c r="AH10" s="206">
        <f>INDEX(Facilitietenprofielen!AB:AB,MATCH($J10,Facilitietenprofielen!$A:$A,0))</f>
        <v>1</v>
      </c>
      <c r="AI10" s="206">
        <f>INDEX(Facilitietenprofielen!AC:AC,MATCH($J10,Facilitietenprofielen!$A:$A,0))</f>
        <v>1</v>
      </c>
      <c r="AJ10" s="206">
        <f>INDEX(Facilitietenprofielen!AD:AD,MATCH($J10,Facilitietenprofielen!$A:$A,0))</f>
        <v>1</v>
      </c>
      <c r="AK10" s="206">
        <f>INDEX(Facilitietenprofielen!AE:AE,MATCH($J10,Facilitietenprofielen!$A:$A,0))</f>
        <v>1</v>
      </c>
      <c r="AL10" s="206">
        <f>INDEX(Facilitietenprofielen!AF:AF,MATCH($J10,Facilitietenprofielen!$A:$A,0))</f>
        <v>1</v>
      </c>
      <c r="AM10" s="206">
        <f>INDEX(Facilitietenprofielen!AG:AG,MATCH($J10,Facilitietenprofielen!$A:$A,0))</f>
        <v>1</v>
      </c>
      <c r="AN10" s="206">
        <f>INDEX(Facilitietenprofielen!AH:AH,MATCH($J10,Facilitietenprofielen!$A:$A,0))</f>
        <v>1</v>
      </c>
      <c r="AO10" s="206">
        <f>INDEX(Facilitietenprofielen!AI:AI,MATCH($J10,Facilitietenprofielen!$A:$A,0))</f>
        <v>1</v>
      </c>
      <c r="AP10" s="206">
        <f>INDEX(Facilitietenprofielen!AJ:AJ,MATCH($J10,Facilitietenprofielen!$A:$A,0))</f>
        <v>1</v>
      </c>
      <c r="AQ10" s="206">
        <f>INDEX(Facilitietenprofielen!AK:AK,MATCH($J10,Facilitietenprofielen!$A:$A,0))</f>
        <v>1</v>
      </c>
      <c r="AR10" s="206">
        <f>INDEX(Facilitietenprofielen!AL:AL,MATCH($J10,Facilitietenprofielen!$A:$A,0))</f>
        <v>1</v>
      </c>
      <c r="AS10" s="206">
        <f>INDEX(Facilitietenprofielen!AM:AM,MATCH($J10,Facilitietenprofielen!$A:$A,0))</f>
        <v>1</v>
      </c>
      <c r="AT10" s="206">
        <f>INDEX(Facilitietenprofielen!AN:AN,MATCH($J10,Facilitietenprofielen!$A:$A,0))</f>
        <v>1</v>
      </c>
      <c r="AU10" s="206">
        <f>INDEX(Facilitietenprofielen!AO:AO,MATCH($J10,Facilitietenprofielen!$A:$A,0))</f>
        <v>1</v>
      </c>
      <c r="AV10" s="207">
        <f>INDEX(Facilitietenprofielen!AP:AP,MATCH($J10,Facilitietenprofielen!$A:$A,0))</f>
        <v>1</v>
      </c>
      <c r="AW10" s="206">
        <f>INDEX('Rekenblad Aansluiting'!$O:$O,MATCH($G10&amp;" "&amp;$E10&amp;BE$3&amp;$H10,'Rekenblad Aansluiting'!$A:$A,0))</f>
        <v>102.77777777777777</v>
      </c>
      <c r="AX10" s="206">
        <f>INDEX('Rekenblad Aansluiting'!$O:$O,MATCH($G10&amp;" "&amp;$E10&amp;BF$3&amp;$H10,'Rekenblad Aansluiting'!$A:$A,0))</f>
        <v>102.77777777777777</v>
      </c>
      <c r="AY10" s="206">
        <f>INDEX('Rekenblad Aansluiting'!$O:$O,MATCH($G10&amp;" "&amp;$E10&amp;BG$3&amp;$H10,'Rekenblad Aansluiting'!$A:$A,0))</f>
        <v>102.77777777777777</v>
      </c>
      <c r="AZ10" s="206">
        <f>INDEX('Rekenblad Aansluiting'!$O:$O,MATCH($G10&amp;" "&amp;$E10&amp;BH$3&amp;$H10,'Rekenblad Aansluiting'!$A:$A,0))</f>
        <v>102.77777777777777</v>
      </c>
      <c r="BA10" s="206">
        <f>INDEX('Rekenblad Aansluiting'!$O:$O,MATCH($G10&amp;" "&amp;$E10&amp;BI$3&amp;$H10,'Rekenblad Aansluiting'!$A:$A,0))</f>
        <v>102.77777777777777</v>
      </c>
      <c r="BB10" s="206">
        <f>INDEX('Rekenblad Aansluiting'!$O:$O,MATCH($G10&amp;" "&amp;$E10&amp;BJ$3&amp;$H10,'Rekenblad Aansluiting'!$A:$A,0))</f>
        <v>102.77777777777777</v>
      </c>
      <c r="BC10" s="206">
        <f>INDEX('Rekenblad Aansluiting'!$O:$O,MATCH($G10&amp;" "&amp;$E10&amp;BK$3&amp;$H10,'Rekenblad Aansluiting'!$A:$A,0))</f>
        <v>102.77777777777777</v>
      </c>
      <c r="BD10" s="206">
        <f t="shared" si="5"/>
        <v>4625</v>
      </c>
      <c r="BE10" s="212">
        <f>INDEX('Rekenblad Aansluiting'!$X:$X,MATCH($G10&amp;" "&amp;$E10&amp;BE$3&amp;$H10,'Rekenblad Aansluiting'!$A:$A,0))</f>
        <v>78.617966949999996</v>
      </c>
      <c r="BF10" s="213">
        <f>INDEX('Rekenblad Aansluiting'!$X:$X,MATCH($G10&amp;" "&amp;$E10&amp;BF$3&amp;$H10,'Rekenblad Aansluiting'!$A:$A,0))</f>
        <v>78.617966949999996</v>
      </c>
      <c r="BG10" s="213">
        <f>INDEX('Rekenblad Aansluiting'!$X:$X,MATCH($G10&amp;" "&amp;$E10&amp;BG$3&amp;$H10,'Rekenblad Aansluiting'!$A:$A,0))</f>
        <v>78.617966949999996</v>
      </c>
      <c r="BH10" s="213">
        <f>INDEX('Rekenblad Aansluiting'!$X:$X,MATCH($G10&amp;" "&amp;$E10&amp;BH$3&amp;$H10,'Rekenblad Aansluiting'!$A:$A,0))</f>
        <v>68.579043694444437</v>
      </c>
      <c r="BI10" s="213">
        <f>INDEX('Rekenblad Aansluiting'!$X:$X,MATCH($G10&amp;" "&amp;$E10&amp;BI$3&amp;$H10,'Rekenblad Aansluiting'!$A:$A,0))</f>
        <v>68.579043694444437</v>
      </c>
      <c r="BJ10" s="213">
        <f>INDEX('Rekenblad Aansluiting'!$X:$X,MATCH($G10&amp;" "&amp;$E10&amp;BJ$3&amp;$H10,'Rekenblad Aansluiting'!$A:$A,0))</f>
        <v>68.579043694444437</v>
      </c>
      <c r="BK10" s="213">
        <f>INDEX('Rekenblad Aansluiting'!$X:$X,MATCH($G10&amp;" "&amp;$E10&amp;BK$3&amp;$H10,'Rekenblad Aansluiting'!$A:$A,0))</f>
        <v>87.868888888888875</v>
      </c>
      <c r="BL10" s="223">
        <f t="shared" si="0"/>
        <v>3433.4792736111103</v>
      </c>
      <c r="BM10" s="129">
        <f>IF(ISNA(INDEX('Tarieven ZM'!$G:$G,MATCH($G10&amp;BM$3,'Tarieven ZM'!$B:$B,0))),0,INDEX('Tarieven ZM'!$G:$G,MATCH($G10&amp;BM$3,'Tarieven ZM'!$B:$B,0)))</f>
        <v>100</v>
      </c>
      <c r="BN10" s="133">
        <f>IF(ISNA(INDEX('Tarieven ZM'!$G:$G,MATCH($G10&amp;BN$3,'Tarieven ZM'!$B:$B,0))),0,INDEX('Tarieven ZM'!$G:$G,MATCH($G10&amp;BN$3,'Tarieven ZM'!$B:$B,0)))</f>
        <v>100</v>
      </c>
      <c r="BO10" s="133">
        <f>IF(ISNA(INDEX('Tarieven ZM'!$G:$G,MATCH($G10&amp;BO$3,'Tarieven ZM'!$B:$B,0))),0,INDEX('Tarieven ZM'!$G:$G,MATCH($G10&amp;BO$3,'Tarieven ZM'!$B:$B,0)))</f>
        <v>100</v>
      </c>
      <c r="BP10" s="133">
        <f>IF(ISNA(INDEX('Tarieven ZM'!$G:$G,MATCH($G10&amp;BP$3,'Tarieven ZM'!$B:$B,0))),0,INDEX('Tarieven ZM'!$G:$G,MATCH($G10&amp;BP$3,'Tarieven ZM'!$B:$B,0)))</f>
        <v>100</v>
      </c>
      <c r="BQ10" s="133">
        <f>IF(ISNA(INDEX('Tarieven ZM'!$G:$G,MATCH($G10&amp;BQ$3,'Tarieven ZM'!$B:$B,0))),0,INDEX('Tarieven ZM'!$G:$G,MATCH($G10&amp;BQ$3,'Tarieven ZM'!$B:$B,0)))</f>
        <v>100</v>
      </c>
      <c r="BR10" s="133">
        <f>IF(ISNA(INDEX('Tarieven ZM'!$G:$G,MATCH($G10&amp;BR$3,'Tarieven ZM'!$B:$B,0))),0,INDEX('Tarieven ZM'!$G:$G,MATCH($G10&amp;BR$3,'Tarieven ZM'!$B:$B,0)))</f>
        <v>100</v>
      </c>
      <c r="BS10" s="133">
        <f>IF(ISNA(INDEX('Tarieven ZM'!$G:$G,MATCH($G10&amp;BS$3,'Tarieven ZM'!$B:$B,0))),0,INDEX('Tarieven ZM'!$G:$G,MATCH($G10&amp;BS$3,'Tarieven ZM'!$B:$B,0)))</f>
        <v>0</v>
      </c>
      <c r="BT10" s="133">
        <f>IF(ISNA(INDEX('Tarieven ZM'!$G:$G,MATCH($G10&amp;BT$3,'Tarieven ZM'!$B:$B,0))),0,INDEX('Tarieven ZM'!$G:$G,MATCH($G10&amp;BT$3,'Tarieven ZM'!$B:$B,0)))</f>
        <v>0</v>
      </c>
      <c r="BU10" s="133">
        <f>IF(ISNA(INDEX('Tarieven ZM'!$G:$G,MATCH($G10&amp;BU$3,'Tarieven ZM'!$B:$B,0))),0,INDEX('Tarieven ZM'!$G:$G,MATCH($G10&amp;BU$3,'Tarieven ZM'!$B:$B,0)))</f>
        <v>0</v>
      </c>
      <c r="BV10" s="133">
        <f>IF(ISNA(INDEX('Tarieven ZM'!$G:$G,MATCH($G10&amp;BV$3,'Tarieven ZM'!$B:$B,0))),0,INDEX('Tarieven ZM'!$G:$G,MATCH($G10&amp;BV$3,'Tarieven ZM'!$B:$B,0)))</f>
        <v>0</v>
      </c>
      <c r="BW10" s="133">
        <f>IF(ISNA(INDEX('Tarieven ZM'!$G:$G,MATCH($G10&amp;BW$3,'Tarieven ZM'!$B:$B,0))),0,INDEX('Tarieven ZM'!$G:$G,MATCH($G10&amp;BW$3,'Tarieven ZM'!$B:$B,0)))</f>
        <v>0</v>
      </c>
      <c r="BX10" s="133">
        <f>IF(ISNA(INDEX('Tarieven ZM'!$G:$G,MATCH($G10&amp;BX$3,'Tarieven ZM'!$B:$B,0))),0,INDEX('Tarieven ZM'!$G:$G,MATCH($G10&amp;BX$3,'Tarieven ZM'!$B:$B,0)))</f>
        <v>0</v>
      </c>
      <c r="BY10" s="133">
        <f>IF(ISNA(INDEX('Tarieven ZM'!$G:$G,MATCH($G10&amp;BY$3,'Tarieven ZM'!$B:$B,0))),0,INDEX('Tarieven ZM'!$G:$G,MATCH($G10&amp;BY$3,'Tarieven ZM'!$B:$B,0)))</f>
        <v>0</v>
      </c>
      <c r="BZ10" s="133">
        <f>IF(ISNA(INDEX('Tarieven ZM'!$G:$G,MATCH($G10&amp;BZ$3,'Tarieven ZM'!$B:$B,0))),0,INDEX('Tarieven ZM'!$G:$G,MATCH($G10&amp;BZ$3,'Tarieven ZM'!$B:$B,0)))</f>
        <v>0</v>
      </c>
      <c r="CA10" s="133">
        <f>IF(ISNA(INDEX('Tarieven ZM'!$G:$G,MATCH($G10&amp;CA$3,'Tarieven ZM'!$B:$B,0))),0,INDEX('Tarieven ZM'!$G:$G,MATCH($G10&amp;CA$3,'Tarieven ZM'!$B:$B,0)))</f>
        <v>0</v>
      </c>
      <c r="CB10" s="133">
        <f>IF(ISNA(INDEX('Tarieven ZM'!$G:$G,MATCH($G10&amp;CB$3,'Tarieven ZM'!$B:$B,0))),0,INDEX('Tarieven ZM'!$G:$G,MATCH($G10&amp;CB$3,'Tarieven ZM'!$B:$B,0)))</f>
        <v>0</v>
      </c>
      <c r="CC10" s="133">
        <f>IF(ISNA(INDEX('Tarieven ZM'!$G:$G,MATCH($G10&amp;CC$3,'Tarieven ZM'!$B:$B,0))),0,INDEX('Tarieven ZM'!$G:$G,MATCH($G10&amp;CC$3,'Tarieven ZM'!$B:$B,0)))</f>
        <v>0</v>
      </c>
      <c r="CD10" s="133">
        <f>IF(ISNA(INDEX('Tarieven ZM'!$G:$G,MATCH($G10&amp;CD$3,'Tarieven ZM'!$B:$B,0))),0,INDEX('Tarieven ZM'!$G:$G,MATCH($G10&amp;CD$3,'Tarieven ZM'!$B:$B,0)))</f>
        <v>0</v>
      </c>
      <c r="CE10" s="133">
        <f>IF(ISNA(INDEX('Tarieven ZM'!$G:$G,MATCH($G10&amp;CE$3,'Tarieven ZM'!$B:$B,0))),0,INDEX('Tarieven ZM'!$G:$G,MATCH($G10&amp;CE$3,'Tarieven ZM'!$B:$B,0)))</f>
        <v>0</v>
      </c>
      <c r="CF10" s="133">
        <f>IF(ISNA(INDEX('Tarieven ZM'!$G:$G,MATCH($G10&amp;CF$3,'Tarieven ZM'!$B:$B,0))),0,INDEX('Tarieven ZM'!$G:$G,MATCH($G10&amp;CF$3,'Tarieven ZM'!$B:$B,0)))</f>
        <v>0</v>
      </c>
      <c r="CG10" s="133">
        <f>IF(ISNA(INDEX('Tarieven ZM'!$G:$G,MATCH($G10&amp;CG$3,'Tarieven ZM'!$B:$B,0))),0,INDEX('Tarieven ZM'!$G:$G,MATCH($G10&amp;CG$3,'Tarieven ZM'!$B:$B,0)))</f>
        <v>0</v>
      </c>
      <c r="CH10" s="133">
        <f>IF(ISNA(INDEX('Tarieven ZM'!$G:$G,MATCH($G10&amp;CH$3,'Tarieven ZM'!$B:$B,0))),0,INDEX('Tarieven ZM'!$G:$G,MATCH($G10&amp;CH$3,'Tarieven ZM'!$B:$B,0)))</f>
        <v>0</v>
      </c>
      <c r="CI10" s="133">
        <f>IF(ISNA(INDEX('Tarieven ZM'!$G:$G,MATCH($G10&amp;CI$3,'Tarieven ZM'!$B:$B,0))),0,INDEX('Tarieven ZM'!$G:$G,MATCH($G10&amp;CI$3,'Tarieven ZM'!$B:$B,0)))</f>
        <v>0</v>
      </c>
      <c r="CJ10" s="133">
        <f>IF(ISNA(INDEX('Tarieven ZM'!$G:$G,MATCH($G10&amp;CJ$3,'Tarieven ZM'!$B:$B,0))),0,INDEX('Tarieven ZM'!$G:$G,MATCH($G10&amp;CJ$3,'Tarieven ZM'!$B:$B,0)))</f>
        <v>0</v>
      </c>
      <c r="CK10" s="120">
        <f>IF(ISNA(INDEX('Tarieven ZM'!$G:$G,MATCH($G10&amp;CK$3,'Tarieven ZM'!$B:$B,0))),0,INDEX('Tarieven ZM'!$G:$G,MATCH($G10&amp;CK$3,'Tarieven ZM'!$B:$B,0)))</f>
        <v>0</v>
      </c>
      <c r="CL10" s="129">
        <f>IF(ISNA(INDEX('Tarieven ZM'!$H:$H,MATCH($G10&amp;CL$3,'Tarieven ZM'!$B:$B,0))),0,INDEX('Tarieven ZM'!$H:$H,MATCH($G10&amp;CL$3,'Tarieven ZM'!$B:$B,0)))</f>
        <v>1000</v>
      </c>
      <c r="CM10" s="133">
        <f>IF(ISNA(INDEX('Tarieven ZM'!$H:$H,MATCH($G10&amp;CM$3,'Tarieven ZM'!$B:$B,0))),0,INDEX('Tarieven ZM'!$H:$H,MATCH($G10&amp;CM$3,'Tarieven ZM'!$B:$B,0)))</f>
        <v>1000</v>
      </c>
      <c r="CN10" s="133">
        <f>IF(ISNA(INDEX('Tarieven ZM'!$H:$H,MATCH($G10&amp;CN$3,'Tarieven ZM'!$B:$B,0))),0,INDEX('Tarieven ZM'!$H:$H,MATCH($G10&amp;CN$3,'Tarieven ZM'!$B:$B,0)))</f>
        <v>1000</v>
      </c>
      <c r="CO10" s="133">
        <f>IF(ISNA(INDEX('Tarieven ZM'!$H:$H,MATCH($G10&amp;CO$3,'Tarieven ZM'!$B:$B,0))),0,INDEX('Tarieven ZM'!$H:$H,MATCH($G10&amp;CO$3,'Tarieven ZM'!$B:$B,0)))</f>
        <v>1000</v>
      </c>
      <c r="CP10" s="133">
        <f>IF(ISNA(INDEX('Tarieven ZM'!$H:$H,MATCH($G10&amp;CP$3,'Tarieven ZM'!$B:$B,0))),0,INDEX('Tarieven ZM'!$H:$H,MATCH($G10&amp;CP$3,'Tarieven ZM'!$B:$B,0)))</f>
        <v>1000</v>
      </c>
      <c r="CQ10" s="133">
        <f>IF(ISNA(INDEX('Tarieven ZM'!$H:$H,MATCH($G10&amp;CQ$3,'Tarieven ZM'!$B:$B,0))),0,INDEX('Tarieven ZM'!$H:$H,MATCH($G10&amp;CQ$3,'Tarieven ZM'!$B:$B,0)))</f>
        <v>1000</v>
      </c>
      <c r="CR10" s="133">
        <f>IF(ISNA(INDEX('Tarieven ZM'!$H:$H,MATCH($G10&amp;CR$3,'Tarieven ZM'!$B:$B,0))),0,INDEX('Tarieven ZM'!$H:$H,MATCH($G10&amp;CR$3,'Tarieven ZM'!$B:$B,0)))</f>
        <v>1000</v>
      </c>
      <c r="CS10" s="133">
        <f>IF(ISNA(INDEX('Tarieven ZM'!$H:$H,MATCH($G10&amp;CS$3,'Tarieven ZM'!$B:$B,0))),0,INDEX('Tarieven ZM'!$H:$H,MATCH($G10&amp;CS$3,'Tarieven ZM'!$B:$B,0)))</f>
        <v>0</v>
      </c>
      <c r="CT10" s="133">
        <f>IF(ISNA(INDEX('Tarieven ZM'!$H:$H,MATCH($G10&amp;CT$3,'Tarieven ZM'!$B:$B,0))),0,INDEX('Tarieven ZM'!$H:$H,MATCH($G10&amp;CT$3,'Tarieven ZM'!$B:$B,0)))</f>
        <v>0</v>
      </c>
      <c r="CU10" s="133">
        <f>IF(ISNA(INDEX('Tarieven ZM'!$H:$H,MATCH($G10&amp;CU$3,'Tarieven ZM'!$B:$B,0))),0,INDEX('Tarieven ZM'!$H:$H,MATCH($G10&amp;CU$3,'Tarieven ZM'!$B:$B,0)))</f>
        <v>0</v>
      </c>
      <c r="CV10" s="133">
        <f>IF(ISNA(INDEX('Tarieven ZM'!$H:$H,MATCH($G10&amp;CV$3,'Tarieven ZM'!$B:$B,0))),0,INDEX('Tarieven ZM'!$H:$H,MATCH($G10&amp;CV$3,'Tarieven ZM'!$B:$B,0)))</f>
        <v>0</v>
      </c>
      <c r="CW10" s="133">
        <f>IF(ISNA(INDEX('Tarieven ZM'!$H:$H,MATCH($G10&amp;CW$3,'Tarieven ZM'!$B:$B,0))),0,INDEX('Tarieven ZM'!$H:$H,MATCH($G10&amp;CW$3,'Tarieven ZM'!$B:$B,0)))</f>
        <v>0</v>
      </c>
      <c r="CX10" s="133">
        <f>IF(ISNA(INDEX('Tarieven ZM'!$H:$H,MATCH($G10&amp;CX$3,'Tarieven ZM'!$B:$B,0))),0,INDEX('Tarieven ZM'!$H:$H,MATCH($G10&amp;CX$3,'Tarieven ZM'!$B:$B,0)))</f>
        <v>0</v>
      </c>
      <c r="CY10" s="133">
        <f>IF(ISNA(INDEX('Tarieven ZM'!$H:$H,MATCH($G10&amp;CY$3,'Tarieven ZM'!$B:$B,0))),0,INDEX('Tarieven ZM'!$H:$H,MATCH($G10&amp;CY$3,'Tarieven ZM'!$B:$B,0)))</f>
        <v>0</v>
      </c>
      <c r="CZ10" s="133">
        <f>IF(ISNA(INDEX('Tarieven ZM'!$H:$H,MATCH($G10&amp;CZ$3,'Tarieven ZM'!$B:$B,0))),0,INDEX('Tarieven ZM'!$H:$H,MATCH($G10&amp;CZ$3,'Tarieven ZM'!$B:$B,0)))</f>
        <v>0</v>
      </c>
      <c r="DA10" s="133">
        <f>IF(ISNA(INDEX('Tarieven ZM'!$H:$H,MATCH($G10&amp;DA$3,'Tarieven ZM'!$B:$B,0))),0,INDEX('Tarieven ZM'!$H:$H,MATCH($G10&amp;DA$3,'Tarieven ZM'!$B:$B,0)))</f>
        <v>0</v>
      </c>
      <c r="DB10" s="133">
        <f>IF(ISNA(INDEX('Tarieven ZM'!$H:$H,MATCH($G10&amp;DB$3,'Tarieven ZM'!$B:$B,0))),0,INDEX('Tarieven ZM'!$H:$H,MATCH($G10&amp;DB$3,'Tarieven ZM'!$B:$B,0)))</f>
        <v>0</v>
      </c>
      <c r="DC10" s="133">
        <f>IF(ISNA(INDEX('Tarieven ZM'!$H:$H,MATCH($G10&amp;DC$3,'Tarieven ZM'!$B:$B,0))),0,INDEX('Tarieven ZM'!$H:$H,MATCH($G10&amp;DC$3,'Tarieven ZM'!$B:$B,0)))</f>
        <v>0</v>
      </c>
      <c r="DD10" s="133">
        <f>IF(ISNA(INDEX('Tarieven ZM'!$H:$H,MATCH($G10&amp;DD$3,'Tarieven ZM'!$B:$B,0))),0,INDEX('Tarieven ZM'!$H:$H,MATCH($G10&amp;DD$3,'Tarieven ZM'!$B:$B,0)))</f>
        <v>1000</v>
      </c>
      <c r="DE10" s="133">
        <f>IF(ISNA(INDEX('Tarieven ZM'!$H:$H,MATCH($G10&amp;DE$3,'Tarieven ZM'!$B:$B,0))),0,INDEX('Tarieven ZM'!$H:$H,MATCH($G10&amp;DE$3,'Tarieven ZM'!$B:$B,0)))</f>
        <v>0</v>
      </c>
      <c r="DF10" s="133">
        <f>IF(ISNA(INDEX('Tarieven ZM'!$H:$H,MATCH($G10&amp;DF$3,'Tarieven ZM'!$B:$B,0))),0,INDEX('Tarieven ZM'!$H:$H,MATCH($G10&amp;DF$3,'Tarieven ZM'!$B:$B,0)))</f>
        <v>0</v>
      </c>
      <c r="DG10" s="133">
        <f>IF(ISNA(INDEX('Tarieven ZM'!$H:$H,MATCH($G10&amp;DG$3,'Tarieven ZM'!$B:$B,0))),0,INDEX('Tarieven ZM'!$H:$H,MATCH($G10&amp;DG$3,'Tarieven ZM'!$B:$B,0)))</f>
        <v>0</v>
      </c>
      <c r="DH10" s="133">
        <f>IF(ISNA(INDEX('Tarieven ZM'!$H:$H,MATCH($G10&amp;DH$3,'Tarieven ZM'!$B:$B,0))),0,INDEX('Tarieven ZM'!$H:$H,MATCH($G10&amp;DH$3,'Tarieven ZM'!$B:$B,0)))</f>
        <v>0</v>
      </c>
      <c r="DI10" s="133">
        <f>IF(ISNA(INDEX('Tarieven ZM'!$H:$H,MATCH($G10&amp;DI$3,'Tarieven ZM'!$B:$B,0))),0,INDEX('Tarieven ZM'!$H:$H,MATCH($G10&amp;DI$3,'Tarieven ZM'!$B:$B,0)))</f>
        <v>0</v>
      </c>
      <c r="DJ10" s="120">
        <f>IF(ISNA(INDEX('Tarieven ZM'!$H:$H,MATCH($G10&amp;DJ$3,'Tarieven ZM'!$B:$B,0))),0,INDEX('Tarieven ZM'!$H:$H,MATCH($G10&amp;DJ$3,'Tarieven ZM'!$B:$B,0)))</f>
        <v>1000</v>
      </c>
      <c r="DK10" s="212">
        <f t="shared" si="6"/>
        <v>601</v>
      </c>
      <c r="DL10" s="142">
        <f>SUMPRODUCT($X10:$AV10,CL10:DJ10)/Parameters!$B$9</f>
        <v>250</v>
      </c>
      <c r="DM10" s="157">
        <f t="shared" si="7"/>
        <v>851</v>
      </c>
      <c r="DN10" s="129">
        <f>INDEX(WLR!$J:$J,MATCH(DN$4,WLR!$A:$A,0))</f>
        <v>10.39</v>
      </c>
      <c r="DO10" s="133">
        <f>INDEX(WLR!$J:$J,MATCH(DO$4,WLR!$A:$A,0))</f>
        <v>10.39</v>
      </c>
      <c r="DP10" s="133">
        <f>INDEX(WLR!$J:$J,MATCH(DP$4,WLR!$A:$A,0))</f>
        <v>62.94</v>
      </c>
      <c r="DQ10" s="133">
        <f>INDEX(WLR!$J:$J,MATCH(DQ$4,WLR!$A:$A,0))</f>
        <v>62.94</v>
      </c>
      <c r="DR10" s="133">
        <f>INDEX(WLR!$J:$J,MATCH(DR$4,WLR!$A:$A,0))</f>
        <v>494.44</v>
      </c>
      <c r="DS10" s="133">
        <f>INDEX(WLR!$J:$J,MATCH(DS$4,WLR!$A:$A,0))</f>
        <v>494.44</v>
      </c>
      <c r="DT10" s="133">
        <f>INDEX(WLR!$J:$J,MATCH(DT$4,WLR!$A:$A,0))</f>
        <v>3510.28</v>
      </c>
      <c r="DU10" s="133">
        <f>INDEX(WLR!$J:$J,MATCH(DU$4,WLR!$A:$A,0))</f>
        <v>1.19</v>
      </c>
      <c r="DV10" s="133">
        <f>INDEX(WLR!$J:$J,MATCH(DV$4,WLR!$A:$A,0))</f>
        <v>29.43</v>
      </c>
      <c r="DW10" s="133">
        <f>INDEX(WLR!$J:$J,MATCH(DW$4,WLR!$A:$A,0))</f>
        <v>192.45</v>
      </c>
      <c r="DX10" s="133">
        <f>INDEX(WLR!$J:$J,MATCH(DX$4,WLR!$A:$A,0))</f>
        <v>9.8000000000000007</v>
      </c>
      <c r="DY10" s="133">
        <f>INDEX(WLR!$J:$J,MATCH(DY$4,WLR!$A:$A,0))</f>
        <v>34.950000000000003</v>
      </c>
      <c r="DZ10" s="133">
        <f>INDEX(WLR!$J:$J,MATCH(DZ$4,WLR!$A:$A,0))</f>
        <v>34.950000000000003</v>
      </c>
      <c r="EA10" s="133">
        <f>INDEX(WLR!$J:$J,MATCH(EA$4,WLR!$A:$A,0))</f>
        <v>2.08</v>
      </c>
      <c r="EB10" s="133">
        <f>INDEX(WLR!$J:$J,MATCH(EB$4,WLR!$A:$A,0))</f>
        <v>1.97</v>
      </c>
      <c r="EC10" s="133">
        <f>INDEX(WLR!$J:$J,MATCH(EC$4,WLR!$A:$A,0))</f>
        <v>1.97</v>
      </c>
      <c r="ED10" s="133">
        <f>INDEX(WLR!$J:$J,MATCH(ED$4,WLR!$A:$A,0))</f>
        <v>0</v>
      </c>
      <c r="EE10" s="133">
        <f>INDEX(WLR!$J:$J,MATCH(EE$4,WLR!$A:$A,0))</f>
        <v>0</v>
      </c>
      <c r="EF10" s="133">
        <f>INDEX(WLR!$J:$J,MATCH(EF$4,WLR!$A:$A,0))</f>
        <v>0.96</v>
      </c>
      <c r="EG10" s="133">
        <f>INDEX(WLR!$J:$J,MATCH(EG$4,WLR!$A:$A,0))</f>
        <v>4.53</v>
      </c>
      <c r="EH10" s="133">
        <f>INDEX(WLR!$J:$J,MATCH(EH$4,WLR!$A:$A,0))</f>
        <v>4.53</v>
      </c>
      <c r="EI10" s="133">
        <f>INDEX(WLR!$J:$J,MATCH(EI$4,WLR!$A:$A,0))</f>
        <v>7.58</v>
      </c>
      <c r="EJ10" s="133">
        <f>INDEX(WLR!$J:$J,MATCH(EJ$4,WLR!$A:$A,0))</f>
        <v>31.11</v>
      </c>
      <c r="EK10" s="133">
        <f>INDEX(WLR!$J:$J,MATCH(EK$4,WLR!$A:$A,0))</f>
        <v>31.11</v>
      </c>
      <c r="EL10" s="120">
        <f>INDEX(WLR!$J:$J,MATCH(EL$4,WLR!$A:$A,0))</f>
        <v>0.96</v>
      </c>
      <c r="EM10" s="129">
        <f>INDEX(WLR!$I:$I,MATCH(EM$4,WLR!$A:$A,0))</f>
        <v>0</v>
      </c>
      <c r="EN10" s="133">
        <f>INDEX(WLR!$I:$I,MATCH(EN$4,WLR!$A:$A,0))</f>
        <v>16.21</v>
      </c>
      <c r="EO10" s="133">
        <f>INDEX(WLR!$I:$I,MATCH(EO$4,WLR!$A:$A,0))</f>
        <v>0</v>
      </c>
      <c r="EP10" s="133">
        <f>INDEX(WLR!$I:$I,MATCH(EP$4,WLR!$A:$A,0))</f>
        <v>16.21</v>
      </c>
      <c r="EQ10" s="133">
        <f>INDEX(WLR!$I:$I,MATCH(EQ$4,WLR!$A:$A,0))</f>
        <v>0</v>
      </c>
      <c r="ER10" s="133">
        <f>INDEX(WLR!$I:$I,MATCH(ER$4,WLR!$A:$A,0))</f>
        <v>16.21</v>
      </c>
      <c r="ES10" s="133">
        <f>INDEX(WLR!$I:$I,MATCH(ES$4,WLR!$A:$A,0))</f>
        <v>0</v>
      </c>
      <c r="ET10" s="133">
        <f>INDEX(WLR!$I:$I,MATCH(ET$4,WLR!$A:$A,0))</f>
        <v>82.82</v>
      </c>
      <c r="EU10" s="133">
        <f>INDEX(WLR!$I:$I,MATCH(EU$4,WLR!$A:$A,0))</f>
        <v>748.42</v>
      </c>
      <c r="EV10" s="133">
        <f>INDEX(WLR!$I:$I,MATCH(EV$4,WLR!$A:$A,0))</f>
        <v>1282.99</v>
      </c>
      <c r="EW10" s="133">
        <f>INDEX(WLR!$I:$I,MATCH(EW$4,WLR!$A:$A,0))</f>
        <v>16.21</v>
      </c>
      <c r="EX10" s="133">
        <f>INDEX(WLR!$I:$I,MATCH(EX$4,WLR!$A:$A,0))</f>
        <v>79.94</v>
      </c>
      <c r="EY10" s="133">
        <f>INDEX(WLR!$I:$I,MATCH(EY$4,WLR!$A:$A,0))</f>
        <v>839.48</v>
      </c>
      <c r="EZ10" s="133">
        <f>INDEX(WLR!$I:$I,MATCH(EZ$4,WLR!$A:$A,0))</f>
        <v>32.950000000000003</v>
      </c>
      <c r="FA10" s="133">
        <f>INDEX(WLR!$I:$I,MATCH(FA$4,WLR!$A:$A,0))</f>
        <v>16.21</v>
      </c>
      <c r="FB10" s="133">
        <f>INDEX(WLR!$I:$I,MATCH(FB$4,WLR!$A:$A,0))</f>
        <v>16.21</v>
      </c>
      <c r="FC10" s="133">
        <f>INDEX(WLR!$I:$I,MATCH(FC$4,WLR!$A:$A,0))</f>
        <v>0</v>
      </c>
      <c r="FD10" s="133">
        <f>INDEX(WLR!$I:$I,MATCH(FD$4,WLR!$A:$A,0))</f>
        <v>15.73</v>
      </c>
      <c r="FE10" s="133">
        <f>INDEX(WLR!$I:$I,MATCH(FE$4,WLR!$A:$A,0))</f>
        <v>0</v>
      </c>
      <c r="FF10" s="133">
        <f>INDEX(WLR!$I:$I,MATCH(FF$4,WLR!$A:$A,0))</f>
        <v>0</v>
      </c>
      <c r="FG10" s="133">
        <f>INDEX(WLR!$I:$I,MATCH(FG$4,WLR!$A:$A,0))</f>
        <v>0</v>
      </c>
      <c r="FH10" s="133">
        <f>INDEX(WLR!$I:$I,MATCH(FH$4,WLR!$A:$A,0))</f>
        <v>15.73</v>
      </c>
      <c r="FI10" s="133">
        <f>INDEX(WLR!$I:$I,MATCH(FI$4,WLR!$A:$A,0))</f>
        <v>40.06</v>
      </c>
      <c r="FJ10" s="133">
        <f>INDEX(WLR!$I:$I,MATCH(FJ$4,WLR!$A:$A,0))</f>
        <v>40.06</v>
      </c>
      <c r="FK10" s="120">
        <f>INDEX(WLR!$I:$I,MATCH(FK$4,WLR!$A:$A,0))</f>
        <v>0</v>
      </c>
      <c r="FL10" s="168">
        <f>SUMPRODUCT(X10:AV10,DN10:EL10)+V10*(1-Parameters!$B$52)</f>
        <v>5036.1899999999987</v>
      </c>
      <c r="FM10" s="213">
        <f>SUMPRODUCT(X10:AV10,EM10:FK10)/Parameters!$B$9</f>
        <v>90.984444444444435</v>
      </c>
      <c r="FN10" s="136">
        <f t="shared" si="8"/>
        <v>5127.174444444443</v>
      </c>
      <c r="FO10" s="148">
        <f>DM10*Parameters!$B$3</f>
        <v>85.100000000000009</v>
      </c>
      <c r="FP10" s="142">
        <f>IF(LEFT(G10,3)="KPN",(('Vergoedingen grondslag'!$F$11+'Vergoedingen grondslag'!$I$11+'Vergoedingen grondslag'!$L$11+'Vergoedingen grondslag'!$O$11)*DK10)+('Vergoedingen grondslag'!$O$11*DL10+'Vergoedingen grondslag'!$R$11*0+'Vergoedingen grondslag'!$U$11+'Vergoedingen grondslag'!$X$11)/36,(('Vergoedingen grondslag'!$F$20+'Vergoedingen grondslag'!$I$20+'Vergoedingen grondslag'!$L$20+'Vergoedingen grondslag'!$O$20)*DK10)+('Vergoedingen grondslag'!$O$20*DL10+'Vergoedingen grondslag'!$R$20*0+'Vergoedingen grondslag'!$U$20*0)/36)</f>
        <v>24.164999999999999</v>
      </c>
      <c r="FQ10" s="133"/>
      <c r="FR10" s="157">
        <f t="shared" si="9"/>
        <v>109.26500000000001</v>
      </c>
      <c r="FS10" s="166">
        <f t="shared" si="10"/>
        <v>5236.4394444444433</v>
      </c>
      <c r="FT10" s="168">
        <f t="shared" si="1"/>
        <v>3324.21427361111</v>
      </c>
      <c r="FU10" s="145">
        <f t="shared" si="2"/>
        <v>0.60705154740889522</v>
      </c>
      <c r="FV10" s="120" t="b">
        <f t="shared" si="11"/>
        <v>0</v>
      </c>
      <c r="FW10" s="331" t="s">
        <v>868</v>
      </c>
    </row>
    <row r="11" spans="2:179" ht="14.4">
      <c r="B11" s="129"/>
      <c r="C11" s="120"/>
      <c r="D11" s="129" t="s">
        <v>644</v>
      </c>
      <c r="E11" s="133" t="s">
        <v>19</v>
      </c>
      <c r="F11" s="133" t="s">
        <v>468</v>
      </c>
      <c r="G11" s="133" t="s">
        <v>9</v>
      </c>
      <c r="H11" s="133" t="s">
        <v>459</v>
      </c>
      <c r="I11" s="133" t="str">
        <f t="shared" si="3"/>
        <v>KPN Zakelijk BelBasisISDN20VVE overstap</v>
      </c>
      <c r="J11" s="120" t="str">
        <f>D11&amp;F11&amp;G11</f>
        <v>n3*ISDN20KPN</v>
      </c>
      <c r="K11" s="205">
        <f>INDEX(Facilitietenprofielen!D:D,MATCH($J11,Facilitietenprofielen!$A:$A,0))</f>
        <v>5</v>
      </c>
      <c r="L11" s="206">
        <f>INDEX(Facilitietenprofielen!E:E,MATCH($J11,Facilitietenprofielen!$A:$A,0))</f>
        <v>5</v>
      </c>
      <c r="M11" s="206">
        <f>INDEX(Facilitietenprofielen!F:F,MATCH($J11,Facilitietenprofielen!$A:$A,0))</f>
        <v>5</v>
      </c>
      <c r="N11" s="206">
        <f>INDEX(Facilitietenprofielen!G:G,MATCH($J11,Facilitietenprofielen!$A:$A,0))</f>
        <v>5</v>
      </c>
      <c r="O11" s="206">
        <f>INDEX(Facilitietenprofielen!H:H,MATCH($J11,Facilitietenprofielen!$A:$A,0))</f>
        <v>5</v>
      </c>
      <c r="P11" s="206">
        <f>INDEX(Facilitietenprofielen!I:I,MATCH($J11,Facilitietenprofielen!$A:$A,0))</f>
        <v>5</v>
      </c>
      <c r="Q11" s="206">
        <f>INDEX(Facilitietenprofielen!J:J,MATCH($J11,Facilitietenprofielen!$A:$A,0))</f>
        <v>5</v>
      </c>
      <c r="R11" s="206">
        <f>INDEX(Facilitietenprofielen!K:K,MATCH($J11,Facilitietenprofielen!$A:$A,0))</f>
        <v>5</v>
      </c>
      <c r="S11" s="206">
        <f>INDEX(Facilitietenprofielen!L:L,MATCH($J11,Facilitietenprofielen!$A:$A,0))</f>
        <v>5</v>
      </c>
      <c r="T11" s="206">
        <f>INDEX(Facilitietenprofielen!M:M,MATCH($J11,Facilitietenprofielen!$A:$A,0))</f>
        <v>510</v>
      </c>
      <c r="U11" s="206">
        <f>INDEX(Facilitietenprofielen!N:N,MATCH($J11,Facilitietenprofielen!$A:$A,0))</f>
        <v>102</v>
      </c>
      <c r="V11" s="206">
        <f>INDEX(Facilitietenprofielen!V:V,MATCH($J11,Facilitietenprofielen!$A:$A,0))</f>
        <v>1</v>
      </c>
      <c r="W11" s="206">
        <f>INDEX(Facilitietenprofielen!W:W,MATCH($J11,Facilitietenprofielen!$A:$A,0))</f>
        <v>1</v>
      </c>
      <c r="X11" s="206">
        <f>INDEX(Facilitietenprofielen!O:O,MATCH($J11,Facilitietenprofielen!$A:$A,0))</f>
        <v>1</v>
      </c>
      <c r="Y11" s="206">
        <f>INDEX(Facilitietenprofielen!P:P,MATCH($J11,Facilitietenprofielen!$A:$A,0))</f>
        <v>1</v>
      </c>
      <c r="Z11" s="206">
        <f>INDEX(Facilitietenprofielen!Q:Q,MATCH($J11,Facilitietenprofielen!$A:$A,0))</f>
        <v>1</v>
      </c>
      <c r="AA11" s="206">
        <f>INDEX(Facilitietenprofielen!R:R,MATCH($J11,Facilitietenprofielen!$A:$A,0))</f>
        <v>1</v>
      </c>
      <c r="AB11" s="206">
        <f>INDEX(Facilitietenprofielen!S:S,MATCH($J11,Facilitietenprofielen!$A:$A,0))</f>
        <v>1</v>
      </c>
      <c r="AC11" s="206">
        <f>INDEX(Facilitietenprofielen!T:T,MATCH($J11,Facilitietenprofielen!$A:$A,0))</f>
        <v>1</v>
      </c>
      <c r="AD11" s="206">
        <f>INDEX(Facilitietenprofielen!U:U,MATCH($J11,Facilitietenprofielen!$A:$A,0))</f>
        <v>1</v>
      </c>
      <c r="AE11" s="206">
        <f>INDEX(Facilitietenprofielen!Y:Y,MATCH($J11,Facilitietenprofielen!$A:$A,0))</f>
        <v>1</v>
      </c>
      <c r="AF11" s="206">
        <f>INDEX(Facilitietenprofielen!Z:Z,MATCH($J11,Facilitietenprofielen!$A:$A,0))</f>
        <v>1</v>
      </c>
      <c r="AG11" s="206">
        <f>INDEX(Facilitietenprofielen!AA:AA,MATCH($J11,Facilitietenprofielen!$A:$A,0))</f>
        <v>1</v>
      </c>
      <c r="AH11" s="206">
        <f>INDEX(Facilitietenprofielen!AB:AB,MATCH($J11,Facilitietenprofielen!$A:$A,0))</f>
        <v>1</v>
      </c>
      <c r="AI11" s="206">
        <f>INDEX(Facilitietenprofielen!AC:AC,MATCH($J11,Facilitietenprofielen!$A:$A,0))</f>
        <v>1</v>
      </c>
      <c r="AJ11" s="206">
        <f>INDEX(Facilitietenprofielen!AD:AD,MATCH($J11,Facilitietenprofielen!$A:$A,0))</f>
        <v>1</v>
      </c>
      <c r="AK11" s="206">
        <f>INDEX(Facilitietenprofielen!AE:AE,MATCH($J11,Facilitietenprofielen!$A:$A,0))</f>
        <v>1</v>
      </c>
      <c r="AL11" s="206">
        <f>INDEX(Facilitietenprofielen!AF:AF,MATCH($J11,Facilitietenprofielen!$A:$A,0))</f>
        <v>1</v>
      </c>
      <c r="AM11" s="206">
        <f>INDEX(Facilitietenprofielen!AG:AG,MATCH($J11,Facilitietenprofielen!$A:$A,0))</f>
        <v>1</v>
      </c>
      <c r="AN11" s="206">
        <f>INDEX(Facilitietenprofielen!AH:AH,MATCH($J11,Facilitietenprofielen!$A:$A,0))</f>
        <v>1</v>
      </c>
      <c r="AO11" s="206">
        <f>INDEX(Facilitietenprofielen!AI:AI,MATCH($J11,Facilitietenprofielen!$A:$A,0))</f>
        <v>1</v>
      </c>
      <c r="AP11" s="206">
        <f>INDEX(Facilitietenprofielen!AJ:AJ,MATCH($J11,Facilitietenprofielen!$A:$A,0))</f>
        <v>1</v>
      </c>
      <c r="AQ11" s="206">
        <f>INDEX(Facilitietenprofielen!AK:AK,MATCH($J11,Facilitietenprofielen!$A:$A,0))</f>
        <v>1</v>
      </c>
      <c r="AR11" s="206">
        <f>INDEX(Facilitietenprofielen!AL:AL,MATCH($J11,Facilitietenprofielen!$A:$A,0))</f>
        <v>1</v>
      </c>
      <c r="AS11" s="206">
        <f>INDEX(Facilitietenprofielen!AM:AM,MATCH($J11,Facilitietenprofielen!$A:$A,0))</f>
        <v>1</v>
      </c>
      <c r="AT11" s="206">
        <f>INDEX(Facilitietenprofielen!AN:AN,MATCH($J11,Facilitietenprofielen!$A:$A,0))</f>
        <v>1</v>
      </c>
      <c r="AU11" s="206">
        <f>INDEX(Facilitietenprofielen!AO:AO,MATCH($J11,Facilitietenprofielen!$A:$A,0))</f>
        <v>1</v>
      </c>
      <c r="AV11" s="207">
        <f>INDEX(Facilitietenprofielen!AP:AP,MATCH($J11,Facilitietenprofielen!$A:$A,0))</f>
        <v>1</v>
      </c>
      <c r="AW11" s="206">
        <f>INDEX('Rekenblad Aansluiting'!$O:$O,MATCH($G11&amp;" "&amp;$E11&amp;BE$3&amp;$H11,'Rekenblad Aansluiting'!$A:$A,0))</f>
        <v>102.77777777777777</v>
      </c>
      <c r="AX11" s="206">
        <f>INDEX('Rekenblad Aansluiting'!$O:$O,MATCH($G11&amp;" "&amp;$E11&amp;BF$3&amp;$H11,'Rekenblad Aansluiting'!$A:$A,0))</f>
        <v>102.77777777777777</v>
      </c>
      <c r="AY11" s="206">
        <f>INDEX('Rekenblad Aansluiting'!$O:$O,MATCH($G11&amp;" "&amp;$E11&amp;BG$3&amp;$H11,'Rekenblad Aansluiting'!$A:$A,0))</f>
        <v>102.77777777777777</v>
      </c>
      <c r="AZ11" s="206">
        <f>INDEX('Rekenblad Aansluiting'!$O:$O,MATCH($G11&amp;" "&amp;$E11&amp;BH$3&amp;$H11,'Rekenblad Aansluiting'!$A:$A,0))</f>
        <v>102.77777777777777</v>
      </c>
      <c r="BA11" s="206">
        <f>INDEX('Rekenblad Aansluiting'!$O:$O,MATCH($G11&amp;" "&amp;$E11&amp;BI$3&amp;$H11,'Rekenblad Aansluiting'!$A:$A,0))</f>
        <v>102.77777777777777</v>
      </c>
      <c r="BB11" s="206">
        <f>INDEX('Rekenblad Aansluiting'!$O:$O,MATCH($G11&amp;" "&amp;$E11&amp;BJ$3&amp;$H11,'Rekenblad Aansluiting'!$A:$A,0))</f>
        <v>102.77777777777777</v>
      </c>
      <c r="BC11" s="206">
        <f>INDEX('Rekenblad Aansluiting'!$O:$O,MATCH($G11&amp;" "&amp;$E11&amp;BK$3&amp;$H11,'Rekenblad Aansluiting'!$A:$A,0))</f>
        <v>102.77777777777777</v>
      </c>
      <c r="BD11" s="206">
        <f t="shared" si="5"/>
        <v>4625</v>
      </c>
      <c r="BE11" s="212">
        <f>INDEX('Rekenblad Aansluiting'!$X:$X,MATCH($G11&amp;" "&amp;$E11&amp;BE$3&amp;$H11,'Rekenblad Aansluiting'!$A:$A,0))</f>
        <v>78.617966949999996</v>
      </c>
      <c r="BF11" s="213">
        <f>INDEX('Rekenblad Aansluiting'!$X:$X,MATCH($G11&amp;" "&amp;$E11&amp;BF$3&amp;$H11,'Rekenblad Aansluiting'!$A:$A,0))</f>
        <v>78.617966949999996</v>
      </c>
      <c r="BG11" s="213">
        <f>INDEX('Rekenblad Aansluiting'!$X:$X,MATCH($G11&amp;" "&amp;$E11&amp;BG$3&amp;$H11,'Rekenblad Aansluiting'!$A:$A,0))</f>
        <v>78.617966949999996</v>
      </c>
      <c r="BH11" s="213">
        <f>INDEX('Rekenblad Aansluiting'!$X:$X,MATCH($G11&amp;" "&amp;$E11&amp;BH$3&amp;$H11,'Rekenblad Aansluiting'!$A:$A,0))</f>
        <v>68.579043694444437</v>
      </c>
      <c r="BI11" s="213">
        <f>INDEX('Rekenblad Aansluiting'!$X:$X,MATCH($G11&amp;" "&amp;$E11&amp;BI$3&amp;$H11,'Rekenblad Aansluiting'!$A:$A,0))</f>
        <v>68.579043694444437</v>
      </c>
      <c r="BJ11" s="213">
        <f>INDEX('Rekenblad Aansluiting'!$X:$X,MATCH($G11&amp;" "&amp;$E11&amp;BJ$3&amp;$H11,'Rekenblad Aansluiting'!$A:$A,0))</f>
        <v>68.579043694444437</v>
      </c>
      <c r="BK11" s="213">
        <f>INDEX('Rekenblad Aansluiting'!$X:$X,MATCH($G11&amp;" "&amp;$E11&amp;BK$3&amp;$H11,'Rekenblad Aansluiting'!$A:$A,0))</f>
        <v>87.868888888888875</v>
      </c>
      <c r="BL11" s="223">
        <f t="shared" si="0"/>
        <v>3433.4792736111103</v>
      </c>
      <c r="BM11" s="129">
        <f>IF(ISNA(INDEX('Tarieven ZM'!$G:$G,MATCH($G11&amp;BM$3,'Tarieven ZM'!$B:$B,0))),0,INDEX('Tarieven ZM'!$G:$G,MATCH($G11&amp;BM$3,'Tarieven ZM'!$B:$B,0)))</f>
        <v>100</v>
      </c>
      <c r="BN11" s="133">
        <f>IF(ISNA(INDEX('Tarieven ZM'!$G:$G,MATCH($G11&amp;BN$3,'Tarieven ZM'!$B:$B,0))),0,INDEX('Tarieven ZM'!$G:$G,MATCH($G11&amp;BN$3,'Tarieven ZM'!$B:$B,0)))</f>
        <v>100</v>
      </c>
      <c r="BO11" s="133">
        <f>IF(ISNA(INDEX('Tarieven ZM'!$G:$G,MATCH($G11&amp;BO$3,'Tarieven ZM'!$B:$B,0))),0,INDEX('Tarieven ZM'!$G:$G,MATCH($G11&amp;BO$3,'Tarieven ZM'!$B:$B,0)))</f>
        <v>100</v>
      </c>
      <c r="BP11" s="133">
        <f>IF(ISNA(INDEX('Tarieven ZM'!$G:$G,MATCH($G11&amp;BP$3,'Tarieven ZM'!$B:$B,0))),0,INDEX('Tarieven ZM'!$G:$G,MATCH($G11&amp;BP$3,'Tarieven ZM'!$B:$B,0)))</f>
        <v>100</v>
      </c>
      <c r="BQ11" s="133">
        <f>IF(ISNA(INDEX('Tarieven ZM'!$G:$G,MATCH($G11&amp;BQ$3,'Tarieven ZM'!$B:$B,0))),0,INDEX('Tarieven ZM'!$G:$G,MATCH($G11&amp;BQ$3,'Tarieven ZM'!$B:$B,0)))</f>
        <v>100</v>
      </c>
      <c r="BR11" s="133">
        <f>IF(ISNA(INDEX('Tarieven ZM'!$G:$G,MATCH($G11&amp;BR$3,'Tarieven ZM'!$B:$B,0))),0,INDEX('Tarieven ZM'!$G:$G,MATCH($G11&amp;BR$3,'Tarieven ZM'!$B:$B,0)))</f>
        <v>100</v>
      </c>
      <c r="BS11" s="133">
        <f>IF(ISNA(INDEX('Tarieven ZM'!$G:$G,MATCH($G11&amp;BS$3,'Tarieven ZM'!$B:$B,0))),0,INDEX('Tarieven ZM'!$G:$G,MATCH($G11&amp;BS$3,'Tarieven ZM'!$B:$B,0)))</f>
        <v>0</v>
      </c>
      <c r="BT11" s="133">
        <f>IF(ISNA(INDEX('Tarieven ZM'!$G:$G,MATCH($G11&amp;BT$3,'Tarieven ZM'!$B:$B,0))),0,INDEX('Tarieven ZM'!$G:$G,MATCH($G11&amp;BT$3,'Tarieven ZM'!$B:$B,0)))</f>
        <v>0</v>
      </c>
      <c r="BU11" s="133">
        <f>IF(ISNA(INDEX('Tarieven ZM'!$G:$G,MATCH($G11&amp;BU$3,'Tarieven ZM'!$B:$B,0))),0,INDEX('Tarieven ZM'!$G:$G,MATCH($G11&amp;BU$3,'Tarieven ZM'!$B:$B,0)))</f>
        <v>0</v>
      </c>
      <c r="BV11" s="133">
        <f>IF(ISNA(INDEX('Tarieven ZM'!$G:$G,MATCH($G11&amp;BV$3,'Tarieven ZM'!$B:$B,0))),0,INDEX('Tarieven ZM'!$G:$G,MATCH($G11&amp;BV$3,'Tarieven ZM'!$B:$B,0)))</f>
        <v>0</v>
      </c>
      <c r="BW11" s="133">
        <f>IF(ISNA(INDEX('Tarieven ZM'!$G:$G,MATCH($G11&amp;BW$3,'Tarieven ZM'!$B:$B,0))),0,INDEX('Tarieven ZM'!$G:$G,MATCH($G11&amp;BW$3,'Tarieven ZM'!$B:$B,0)))</f>
        <v>0</v>
      </c>
      <c r="BX11" s="133">
        <f>IF(ISNA(INDEX('Tarieven ZM'!$G:$G,MATCH($G11&amp;BX$3,'Tarieven ZM'!$B:$B,0))),0,INDEX('Tarieven ZM'!$G:$G,MATCH($G11&amp;BX$3,'Tarieven ZM'!$B:$B,0)))</f>
        <v>0</v>
      </c>
      <c r="BY11" s="133">
        <f>IF(ISNA(INDEX('Tarieven ZM'!$G:$G,MATCH($G11&amp;BY$3,'Tarieven ZM'!$B:$B,0))),0,INDEX('Tarieven ZM'!$G:$G,MATCH($G11&amp;BY$3,'Tarieven ZM'!$B:$B,0)))</f>
        <v>0</v>
      </c>
      <c r="BZ11" s="133">
        <f>IF(ISNA(INDEX('Tarieven ZM'!$G:$G,MATCH($G11&amp;BZ$3,'Tarieven ZM'!$B:$B,0))),0,INDEX('Tarieven ZM'!$G:$G,MATCH($G11&amp;BZ$3,'Tarieven ZM'!$B:$B,0)))</f>
        <v>0</v>
      </c>
      <c r="CA11" s="133">
        <f>IF(ISNA(INDEX('Tarieven ZM'!$G:$G,MATCH($G11&amp;CA$3,'Tarieven ZM'!$B:$B,0))),0,INDEX('Tarieven ZM'!$G:$G,MATCH($G11&amp;CA$3,'Tarieven ZM'!$B:$B,0)))</f>
        <v>0</v>
      </c>
      <c r="CB11" s="133">
        <f>IF(ISNA(INDEX('Tarieven ZM'!$G:$G,MATCH($G11&amp;CB$3,'Tarieven ZM'!$B:$B,0))),0,INDEX('Tarieven ZM'!$G:$G,MATCH($G11&amp;CB$3,'Tarieven ZM'!$B:$B,0)))</f>
        <v>0</v>
      </c>
      <c r="CC11" s="133">
        <f>IF(ISNA(INDEX('Tarieven ZM'!$G:$G,MATCH($G11&amp;CC$3,'Tarieven ZM'!$B:$B,0))),0,INDEX('Tarieven ZM'!$G:$G,MATCH($G11&amp;CC$3,'Tarieven ZM'!$B:$B,0)))</f>
        <v>0</v>
      </c>
      <c r="CD11" s="133">
        <f>IF(ISNA(INDEX('Tarieven ZM'!$G:$G,MATCH($G11&amp;CD$3,'Tarieven ZM'!$B:$B,0))),0,INDEX('Tarieven ZM'!$G:$G,MATCH($G11&amp;CD$3,'Tarieven ZM'!$B:$B,0)))</f>
        <v>0</v>
      </c>
      <c r="CE11" s="133">
        <f>IF(ISNA(INDEX('Tarieven ZM'!$G:$G,MATCH($G11&amp;CE$3,'Tarieven ZM'!$B:$B,0))),0,INDEX('Tarieven ZM'!$G:$G,MATCH($G11&amp;CE$3,'Tarieven ZM'!$B:$B,0)))</f>
        <v>0</v>
      </c>
      <c r="CF11" s="133">
        <f>IF(ISNA(INDEX('Tarieven ZM'!$G:$G,MATCH($G11&amp;CF$3,'Tarieven ZM'!$B:$B,0))),0,INDEX('Tarieven ZM'!$G:$G,MATCH($G11&amp;CF$3,'Tarieven ZM'!$B:$B,0)))</f>
        <v>0</v>
      </c>
      <c r="CG11" s="133">
        <f>IF(ISNA(INDEX('Tarieven ZM'!$G:$G,MATCH($G11&amp;CG$3,'Tarieven ZM'!$B:$B,0))),0,INDEX('Tarieven ZM'!$G:$G,MATCH($G11&amp;CG$3,'Tarieven ZM'!$B:$B,0)))</f>
        <v>0</v>
      </c>
      <c r="CH11" s="133">
        <f>IF(ISNA(INDEX('Tarieven ZM'!$G:$G,MATCH($G11&amp;CH$3,'Tarieven ZM'!$B:$B,0))),0,INDEX('Tarieven ZM'!$G:$G,MATCH($G11&amp;CH$3,'Tarieven ZM'!$B:$B,0)))</f>
        <v>0</v>
      </c>
      <c r="CI11" s="133">
        <f>IF(ISNA(INDEX('Tarieven ZM'!$G:$G,MATCH($G11&amp;CI$3,'Tarieven ZM'!$B:$B,0))),0,INDEX('Tarieven ZM'!$G:$G,MATCH($G11&amp;CI$3,'Tarieven ZM'!$B:$B,0)))</f>
        <v>0</v>
      </c>
      <c r="CJ11" s="133">
        <f>IF(ISNA(INDEX('Tarieven ZM'!$G:$G,MATCH($G11&amp;CJ$3,'Tarieven ZM'!$B:$B,0))),0,INDEX('Tarieven ZM'!$G:$G,MATCH($G11&amp;CJ$3,'Tarieven ZM'!$B:$B,0)))</f>
        <v>0</v>
      </c>
      <c r="CK11" s="120">
        <f>IF(ISNA(INDEX('Tarieven ZM'!$G:$G,MATCH($G11&amp;CK$3,'Tarieven ZM'!$B:$B,0))),0,INDEX('Tarieven ZM'!$G:$G,MATCH($G11&amp;CK$3,'Tarieven ZM'!$B:$B,0)))</f>
        <v>0</v>
      </c>
      <c r="CL11" s="129">
        <f>IF(ISNA(INDEX('Tarieven ZM'!$H:$H,MATCH($G11&amp;CL$3,'Tarieven ZM'!$B:$B,0))),0,INDEX('Tarieven ZM'!$H:$H,MATCH($G11&amp;CL$3,'Tarieven ZM'!$B:$B,0)))</f>
        <v>1000</v>
      </c>
      <c r="CM11" s="133">
        <f>IF(ISNA(INDEX('Tarieven ZM'!$H:$H,MATCH($G11&amp;CM$3,'Tarieven ZM'!$B:$B,0))),0,INDEX('Tarieven ZM'!$H:$H,MATCH($G11&amp;CM$3,'Tarieven ZM'!$B:$B,0)))</f>
        <v>1000</v>
      </c>
      <c r="CN11" s="133">
        <f>IF(ISNA(INDEX('Tarieven ZM'!$H:$H,MATCH($G11&amp;CN$3,'Tarieven ZM'!$B:$B,0))),0,INDEX('Tarieven ZM'!$H:$H,MATCH($G11&amp;CN$3,'Tarieven ZM'!$B:$B,0)))</f>
        <v>1000</v>
      </c>
      <c r="CO11" s="133">
        <f>IF(ISNA(INDEX('Tarieven ZM'!$H:$H,MATCH($G11&amp;CO$3,'Tarieven ZM'!$B:$B,0))),0,INDEX('Tarieven ZM'!$H:$H,MATCH($G11&amp;CO$3,'Tarieven ZM'!$B:$B,0)))</f>
        <v>1000</v>
      </c>
      <c r="CP11" s="133">
        <f>IF(ISNA(INDEX('Tarieven ZM'!$H:$H,MATCH($G11&amp;CP$3,'Tarieven ZM'!$B:$B,0))),0,INDEX('Tarieven ZM'!$H:$H,MATCH($G11&amp;CP$3,'Tarieven ZM'!$B:$B,0)))</f>
        <v>1000</v>
      </c>
      <c r="CQ11" s="133">
        <f>IF(ISNA(INDEX('Tarieven ZM'!$H:$H,MATCH($G11&amp;CQ$3,'Tarieven ZM'!$B:$B,0))),0,INDEX('Tarieven ZM'!$H:$H,MATCH($G11&amp;CQ$3,'Tarieven ZM'!$B:$B,0)))</f>
        <v>1000</v>
      </c>
      <c r="CR11" s="133">
        <f>IF(ISNA(INDEX('Tarieven ZM'!$H:$H,MATCH($G11&amp;CR$3,'Tarieven ZM'!$B:$B,0))),0,INDEX('Tarieven ZM'!$H:$H,MATCH($G11&amp;CR$3,'Tarieven ZM'!$B:$B,0)))</f>
        <v>1000</v>
      </c>
      <c r="CS11" s="133">
        <f>IF(ISNA(INDEX('Tarieven ZM'!$H:$H,MATCH($G11&amp;CS$3,'Tarieven ZM'!$B:$B,0))),0,INDEX('Tarieven ZM'!$H:$H,MATCH($G11&amp;CS$3,'Tarieven ZM'!$B:$B,0)))</f>
        <v>0</v>
      </c>
      <c r="CT11" s="133">
        <f>IF(ISNA(INDEX('Tarieven ZM'!$H:$H,MATCH($G11&amp;CT$3,'Tarieven ZM'!$B:$B,0))),0,INDEX('Tarieven ZM'!$H:$H,MATCH($G11&amp;CT$3,'Tarieven ZM'!$B:$B,0)))</f>
        <v>0</v>
      </c>
      <c r="CU11" s="133">
        <f>IF(ISNA(INDEX('Tarieven ZM'!$H:$H,MATCH($G11&amp;CU$3,'Tarieven ZM'!$B:$B,0))),0,INDEX('Tarieven ZM'!$H:$H,MATCH($G11&amp;CU$3,'Tarieven ZM'!$B:$B,0)))</f>
        <v>0</v>
      </c>
      <c r="CV11" s="133">
        <f>IF(ISNA(INDEX('Tarieven ZM'!$H:$H,MATCH($G11&amp;CV$3,'Tarieven ZM'!$B:$B,0))),0,INDEX('Tarieven ZM'!$H:$H,MATCH($G11&amp;CV$3,'Tarieven ZM'!$B:$B,0)))</f>
        <v>0</v>
      </c>
      <c r="CW11" s="133">
        <f>IF(ISNA(INDEX('Tarieven ZM'!$H:$H,MATCH($G11&amp;CW$3,'Tarieven ZM'!$B:$B,0))),0,INDEX('Tarieven ZM'!$H:$H,MATCH($G11&amp;CW$3,'Tarieven ZM'!$B:$B,0)))</f>
        <v>0</v>
      </c>
      <c r="CX11" s="133">
        <f>IF(ISNA(INDEX('Tarieven ZM'!$H:$H,MATCH($G11&amp;CX$3,'Tarieven ZM'!$B:$B,0))),0,INDEX('Tarieven ZM'!$H:$H,MATCH($G11&amp;CX$3,'Tarieven ZM'!$B:$B,0)))</f>
        <v>0</v>
      </c>
      <c r="CY11" s="133">
        <f>IF(ISNA(INDEX('Tarieven ZM'!$H:$H,MATCH($G11&amp;CY$3,'Tarieven ZM'!$B:$B,0))),0,INDEX('Tarieven ZM'!$H:$H,MATCH($G11&amp;CY$3,'Tarieven ZM'!$B:$B,0)))</f>
        <v>0</v>
      </c>
      <c r="CZ11" s="133">
        <f>IF(ISNA(INDEX('Tarieven ZM'!$H:$H,MATCH($G11&amp;CZ$3,'Tarieven ZM'!$B:$B,0))),0,INDEX('Tarieven ZM'!$H:$H,MATCH($G11&amp;CZ$3,'Tarieven ZM'!$B:$B,0)))</f>
        <v>0</v>
      </c>
      <c r="DA11" s="133">
        <f>IF(ISNA(INDEX('Tarieven ZM'!$H:$H,MATCH($G11&amp;DA$3,'Tarieven ZM'!$B:$B,0))),0,INDEX('Tarieven ZM'!$H:$H,MATCH($G11&amp;DA$3,'Tarieven ZM'!$B:$B,0)))</f>
        <v>0</v>
      </c>
      <c r="DB11" s="133">
        <f>IF(ISNA(INDEX('Tarieven ZM'!$H:$H,MATCH($G11&amp;DB$3,'Tarieven ZM'!$B:$B,0))),0,INDEX('Tarieven ZM'!$H:$H,MATCH($G11&amp;DB$3,'Tarieven ZM'!$B:$B,0)))</f>
        <v>0</v>
      </c>
      <c r="DC11" s="133">
        <f>IF(ISNA(INDEX('Tarieven ZM'!$H:$H,MATCH($G11&amp;DC$3,'Tarieven ZM'!$B:$B,0))),0,INDEX('Tarieven ZM'!$H:$H,MATCH($G11&amp;DC$3,'Tarieven ZM'!$B:$B,0)))</f>
        <v>0</v>
      </c>
      <c r="DD11" s="133">
        <f>IF(ISNA(INDEX('Tarieven ZM'!$H:$H,MATCH($G11&amp;DD$3,'Tarieven ZM'!$B:$B,0))),0,INDEX('Tarieven ZM'!$H:$H,MATCH($G11&amp;DD$3,'Tarieven ZM'!$B:$B,0)))</f>
        <v>1000</v>
      </c>
      <c r="DE11" s="133">
        <f>IF(ISNA(INDEX('Tarieven ZM'!$H:$H,MATCH($G11&amp;DE$3,'Tarieven ZM'!$B:$B,0))),0,INDEX('Tarieven ZM'!$H:$H,MATCH($G11&amp;DE$3,'Tarieven ZM'!$B:$B,0)))</f>
        <v>0</v>
      </c>
      <c r="DF11" s="133">
        <f>IF(ISNA(INDEX('Tarieven ZM'!$H:$H,MATCH($G11&amp;DF$3,'Tarieven ZM'!$B:$B,0))),0,INDEX('Tarieven ZM'!$H:$H,MATCH($G11&amp;DF$3,'Tarieven ZM'!$B:$B,0)))</f>
        <v>0</v>
      </c>
      <c r="DG11" s="133">
        <f>IF(ISNA(INDEX('Tarieven ZM'!$H:$H,MATCH($G11&amp;DG$3,'Tarieven ZM'!$B:$B,0))),0,INDEX('Tarieven ZM'!$H:$H,MATCH($G11&amp;DG$3,'Tarieven ZM'!$B:$B,0)))</f>
        <v>0</v>
      </c>
      <c r="DH11" s="133">
        <f>IF(ISNA(INDEX('Tarieven ZM'!$H:$H,MATCH($G11&amp;DH$3,'Tarieven ZM'!$B:$B,0))),0,INDEX('Tarieven ZM'!$H:$H,MATCH($G11&amp;DH$3,'Tarieven ZM'!$B:$B,0)))</f>
        <v>0</v>
      </c>
      <c r="DI11" s="133">
        <f>IF(ISNA(INDEX('Tarieven ZM'!$H:$H,MATCH($G11&amp;DI$3,'Tarieven ZM'!$B:$B,0))),0,INDEX('Tarieven ZM'!$H:$H,MATCH($G11&amp;DI$3,'Tarieven ZM'!$B:$B,0)))</f>
        <v>0</v>
      </c>
      <c r="DJ11" s="120">
        <f>IF(ISNA(INDEX('Tarieven ZM'!$H:$H,MATCH($G11&amp;DJ$3,'Tarieven ZM'!$B:$B,0))),0,INDEX('Tarieven ZM'!$H:$H,MATCH($G11&amp;DJ$3,'Tarieven ZM'!$B:$B,0)))</f>
        <v>1000</v>
      </c>
      <c r="DK11" s="212">
        <f t="shared" si="6"/>
        <v>601</v>
      </c>
      <c r="DL11" s="142">
        <f>SUMPRODUCT($X11:$AV11,CL11:DJ11)/Parameters!$B$9</f>
        <v>250</v>
      </c>
      <c r="DM11" s="157">
        <f t="shared" si="7"/>
        <v>851</v>
      </c>
      <c r="DN11" s="129">
        <f>INDEX(WLR!$J:$J,MATCH(DN$4,WLR!$A:$A,0))</f>
        <v>10.39</v>
      </c>
      <c r="DO11" s="133">
        <f>INDEX(WLR!$J:$J,MATCH(DO$4,WLR!$A:$A,0))</f>
        <v>10.39</v>
      </c>
      <c r="DP11" s="133">
        <f>INDEX(WLR!$J:$J,MATCH(DP$4,WLR!$A:$A,0))</f>
        <v>62.94</v>
      </c>
      <c r="DQ11" s="133">
        <f>INDEX(WLR!$J:$J,MATCH(DQ$4,WLR!$A:$A,0))</f>
        <v>62.94</v>
      </c>
      <c r="DR11" s="133">
        <f>INDEX(WLR!$J:$J,MATCH(DR$4,WLR!$A:$A,0))</f>
        <v>494.44</v>
      </c>
      <c r="DS11" s="133">
        <f>INDEX(WLR!$J:$J,MATCH(DS$4,WLR!$A:$A,0))</f>
        <v>494.44</v>
      </c>
      <c r="DT11" s="133">
        <f>INDEX(WLR!$J:$J,MATCH(DT$4,WLR!$A:$A,0))</f>
        <v>3510.28</v>
      </c>
      <c r="DU11" s="133">
        <f>INDEX(WLR!$J:$J,MATCH(DU$4,WLR!$A:$A,0))</f>
        <v>1.19</v>
      </c>
      <c r="DV11" s="133">
        <f>INDEX(WLR!$J:$J,MATCH(DV$4,WLR!$A:$A,0))</f>
        <v>29.43</v>
      </c>
      <c r="DW11" s="133">
        <f>INDEX(WLR!$J:$J,MATCH(DW$4,WLR!$A:$A,0))</f>
        <v>192.45</v>
      </c>
      <c r="DX11" s="133">
        <f>INDEX(WLR!$J:$J,MATCH(DX$4,WLR!$A:$A,0))</f>
        <v>9.8000000000000007</v>
      </c>
      <c r="DY11" s="133">
        <f>INDEX(WLR!$J:$J,MATCH(DY$4,WLR!$A:$A,0))</f>
        <v>34.950000000000003</v>
      </c>
      <c r="DZ11" s="133">
        <f>INDEX(WLR!$J:$J,MATCH(DZ$4,WLR!$A:$A,0))</f>
        <v>34.950000000000003</v>
      </c>
      <c r="EA11" s="133">
        <f>INDEX(WLR!$J:$J,MATCH(EA$4,WLR!$A:$A,0))</f>
        <v>2.08</v>
      </c>
      <c r="EB11" s="133">
        <f>INDEX(WLR!$J:$J,MATCH(EB$4,WLR!$A:$A,0))</f>
        <v>1.97</v>
      </c>
      <c r="EC11" s="133">
        <f>INDEX(WLR!$J:$J,MATCH(EC$4,WLR!$A:$A,0))</f>
        <v>1.97</v>
      </c>
      <c r="ED11" s="133">
        <f>INDEX(WLR!$J:$J,MATCH(ED$4,WLR!$A:$A,0))</f>
        <v>0</v>
      </c>
      <c r="EE11" s="133">
        <f>INDEX(WLR!$J:$J,MATCH(EE$4,WLR!$A:$A,0))</f>
        <v>0</v>
      </c>
      <c r="EF11" s="133">
        <f>INDEX(WLR!$J:$J,MATCH(EF$4,WLR!$A:$A,0))</f>
        <v>0.96</v>
      </c>
      <c r="EG11" s="133">
        <f>INDEX(WLR!$J:$J,MATCH(EG$4,WLR!$A:$A,0))</f>
        <v>4.53</v>
      </c>
      <c r="EH11" s="133">
        <f>INDEX(WLR!$J:$J,MATCH(EH$4,WLR!$A:$A,0))</f>
        <v>4.53</v>
      </c>
      <c r="EI11" s="133">
        <f>INDEX(WLR!$J:$J,MATCH(EI$4,WLR!$A:$A,0))</f>
        <v>7.58</v>
      </c>
      <c r="EJ11" s="133">
        <f>INDEX(WLR!$J:$J,MATCH(EJ$4,WLR!$A:$A,0))</f>
        <v>31.11</v>
      </c>
      <c r="EK11" s="133">
        <f>INDEX(WLR!$J:$J,MATCH(EK$4,WLR!$A:$A,0))</f>
        <v>31.11</v>
      </c>
      <c r="EL11" s="120">
        <f>INDEX(WLR!$J:$J,MATCH(EL$4,WLR!$A:$A,0))</f>
        <v>0.96</v>
      </c>
      <c r="EM11" s="129">
        <f>INDEX(WLR!$I:$I,MATCH(EM$4,WLR!$A:$A,0))</f>
        <v>0</v>
      </c>
      <c r="EN11" s="133">
        <f>INDEX(WLR!$I:$I,MATCH(EN$4,WLR!$A:$A,0))</f>
        <v>16.21</v>
      </c>
      <c r="EO11" s="133">
        <f>INDEX(WLR!$I:$I,MATCH(EO$4,WLR!$A:$A,0))</f>
        <v>0</v>
      </c>
      <c r="EP11" s="133">
        <f>INDEX(WLR!$I:$I,MATCH(EP$4,WLR!$A:$A,0))</f>
        <v>16.21</v>
      </c>
      <c r="EQ11" s="133">
        <f>INDEX(WLR!$I:$I,MATCH(EQ$4,WLR!$A:$A,0))</f>
        <v>0</v>
      </c>
      <c r="ER11" s="133">
        <f>INDEX(WLR!$I:$I,MATCH(ER$4,WLR!$A:$A,0))</f>
        <v>16.21</v>
      </c>
      <c r="ES11" s="133">
        <f>INDEX(WLR!$I:$I,MATCH(ES$4,WLR!$A:$A,0))</f>
        <v>0</v>
      </c>
      <c r="ET11" s="133">
        <f>INDEX(WLR!$I:$I,MATCH(ET$4,WLR!$A:$A,0))</f>
        <v>82.82</v>
      </c>
      <c r="EU11" s="133">
        <f>INDEX(WLR!$I:$I,MATCH(EU$4,WLR!$A:$A,0))</f>
        <v>748.42</v>
      </c>
      <c r="EV11" s="133">
        <f>INDEX(WLR!$I:$I,MATCH(EV$4,WLR!$A:$A,0))</f>
        <v>1282.99</v>
      </c>
      <c r="EW11" s="133">
        <f>INDEX(WLR!$I:$I,MATCH(EW$4,WLR!$A:$A,0))</f>
        <v>16.21</v>
      </c>
      <c r="EX11" s="133">
        <f>INDEX(WLR!$I:$I,MATCH(EX$4,WLR!$A:$A,0))</f>
        <v>79.94</v>
      </c>
      <c r="EY11" s="133">
        <f>INDEX(WLR!$I:$I,MATCH(EY$4,WLR!$A:$A,0))</f>
        <v>839.48</v>
      </c>
      <c r="EZ11" s="133">
        <f>INDEX(WLR!$I:$I,MATCH(EZ$4,WLR!$A:$A,0))</f>
        <v>32.950000000000003</v>
      </c>
      <c r="FA11" s="133">
        <f>INDEX(WLR!$I:$I,MATCH(FA$4,WLR!$A:$A,0))</f>
        <v>16.21</v>
      </c>
      <c r="FB11" s="133">
        <f>INDEX(WLR!$I:$I,MATCH(FB$4,WLR!$A:$A,0))</f>
        <v>16.21</v>
      </c>
      <c r="FC11" s="133">
        <f>INDEX(WLR!$I:$I,MATCH(FC$4,WLR!$A:$A,0))</f>
        <v>0</v>
      </c>
      <c r="FD11" s="133">
        <f>INDEX(WLR!$I:$I,MATCH(FD$4,WLR!$A:$A,0))</f>
        <v>15.73</v>
      </c>
      <c r="FE11" s="133">
        <f>INDEX(WLR!$I:$I,MATCH(FE$4,WLR!$A:$A,0))</f>
        <v>0</v>
      </c>
      <c r="FF11" s="133">
        <f>INDEX(WLR!$I:$I,MATCH(FF$4,WLR!$A:$A,0))</f>
        <v>0</v>
      </c>
      <c r="FG11" s="133">
        <f>INDEX(WLR!$I:$I,MATCH(FG$4,WLR!$A:$A,0))</f>
        <v>0</v>
      </c>
      <c r="FH11" s="133">
        <f>INDEX(WLR!$I:$I,MATCH(FH$4,WLR!$A:$A,0))</f>
        <v>15.73</v>
      </c>
      <c r="FI11" s="133">
        <f>INDEX(WLR!$I:$I,MATCH(FI$4,WLR!$A:$A,0))</f>
        <v>40.06</v>
      </c>
      <c r="FJ11" s="133">
        <f>INDEX(WLR!$I:$I,MATCH(FJ$4,WLR!$A:$A,0))</f>
        <v>40.06</v>
      </c>
      <c r="FK11" s="120">
        <f>INDEX(WLR!$I:$I,MATCH(FK$4,WLR!$A:$A,0))</f>
        <v>0</v>
      </c>
      <c r="FL11" s="168">
        <f>SUMPRODUCT(X11:AV11,DN11:EL11)+V11*(1-Parameters!$B$52)</f>
        <v>5036.1899999999987</v>
      </c>
      <c r="FM11" s="213">
        <f>SUMPRODUCT(X11:AV11,EM11:FK11)/Parameters!$B$9</f>
        <v>90.984444444444435</v>
      </c>
      <c r="FN11" s="136">
        <f t="shared" si="8"/>
        <v>5127.174444444443</v>
      </c>
      <c r="FO11" s="148">
        <f>DM11*Parameters!$B$3</f>
        <v>85.100000000000009</v>
      </c>
      <c r="FP11" s="142">
        <f>IF(LEFT(G11,3)="KPN",(('Vergoedingen grondslag'!$F$11+'Vergoedingen grondslag'!$I$11+'Vergoedingen grondslag'!$L$11+'Vergoedingen grondslag'!$O$11)*DK11)+('Vergoedingen grondslag'!$O$11*DL11+'Vergoedingen grondslag'!$R$11*0+'Vergoedingen grondslag'!$U$11+'Vergoedingen grondslag'!$X$11)/36,(('Vergoedingen grondslag'!$F$20+'Vergoedingen grondslag'!$I$20+'Vergoedingen grondslag'!$L$20+'Vergoedingen grondslag'!$O$20)*DK11)+('Vergoedingen grondslag'!$O$20*DL11+'Vergoedingen grondslag'!$R$20*0+'Vergoedingen grondslag'!$U$20*0)/36)</f>
        <v>24.164999999999999</v>
      </c>
      <c r="FQ11" s="133"/>
      <c r="FR11" s="157">
        <f t="shared" si="9"/>
        <v>109.26500000000001</v>
      </c>
      <c r="FS11" s="166">
        <f t="shared" si="10"/>
        <v>5236.4394444444433</v>
      </c>
      <c r="FT11" s="168">
        <f t="shared" si="1"/>
        <v>3324.21427361111</v>
      </c>
      <c r="FU11" s="145">
        <f t="shared" si="2"/>
        <v>0.60705154740889522</v>
      </c>
      <c r="FV11" s="120" t="b">
        <f t="shared" si="11"/>
        <v>0</v>
      </c>
      <c r="FW11" s="331" t="s">
        <v>868</v>
      </c>
    </row>
    <row r="12" spans="2:179" ht="14.4">
      <c r="B12" s="129"/>
      <c r="C12" s="120"/>
      <c r="D12" s="129" t="s">
        <v>645</v>
      </c>
      <c r="E12" s="133" t="s">
        <v>19</v>
      </c>
      <c r="F12" s="133" t="s">
        <v>469</v>
      </c>
      <c r="G12" s="133" t="s">
        <v>9</v>
      </c>
      <c r="H12" s="133" t="s">
        <v>459</v>
      </c>
      <c r="I12" s="133" t="str">
        <f t="shared" si="3"/>
        <v>KPN Zakelijk BelBasisISDN30VVE overstap</v>
      </c>
      <c r="J12" s="120" t="str">
        <f>D12&amp;F12&amp;G12</f>
        <v>n4*ISDN30KPN</v>
      </c>
      <c r="K12" s="205">
        <f>INDEX(Facilitietenprofielen!D:D,MATCH($J12,Facilitietenprofielen!$A:$A,0))</f>
        <v>5</v>
      </c>
      <c r="L12" s="206">
        <f>INDEX(Facilitietenprofielen!E:E,MATCH($J12,Facilitietenprofielen!$A:$A,0))</f>
        <v>5</v>
      </c>
      <c r="M12" s="206">
        <f>INDEX(Facilitietenprofielen!F:F,MATCH($J12,Facilitietenprofielen!$A:$A,0))</f>
        <v>5</v>
      </c>
      <c r="N12" s="206">
        <f>INDEX(Facilitietenprofielen!G:G,MATCH($J12,Facilitietenprofielen!$A:$A,0))</f>
        <v>5</v>
      </c>
      <c r="O12" s="206">
        <f>INDEX(Facilitietenprofielen!H:H,MATCH($J12,Facilitietenprofielen!$A:$A,0))</f>
        <v>5</v>
      </c>
      <c r="P12" s="206">
        <f>INDEX(Facilitietenprofielen!I:I,MATCH($J12,Facilitietenprofielen!$A:$A,0))</f>
        <v>5</v>
      </c>
      <c r="Q12" s="206">
        <f>INDEX(Facilitietenprofielen!J:J,MATCH($J12,Facilitietenprofielen!$A:$A,0))</f>
        <v>5</v>
      </c>
      <c r="R12" s="206">
        <f>INDEX(Facilitietenprofielen!K:K,MATCH($J12,Facilitietenprofielen!$A:$A,0))</f>
        <v>5</v>
      </c>
      <c r="S12" s="206">
        <f>INDEX(Facilitietenprofielen!L:L,MATCH($J12,Facilitietenprofielen!$A:$A,0))</f>
        <v>5</v>
      </c>
      <c r="T12" s="206">
        <f>INDEX(Facilitietenprofielen!M:M,MATCH($J12,Facilitietenprofielen!$A:$A,0))</f>
        <v>510</v>
      </c>
      <c r="U12" s="206">
        <f>INDEX(Facilitietenprofielen!N:N,MATCH($J12,Facilitietenprofielen!$A:$A,0))</f>
        <v>102</v>
      </c>
      <c r="V12" s="206">
        <f>INDEX(Facilitietenprofielen!V:V,MATCH($J12,Facilitietenprofielen!$A:$A,0))</f>
        <v>1</v>
      </c>
      <c r="W12" s="206">
        <f>INDEX(Facilitietenprofielen!W:W,MATCH($J12,Facilitietenprofielen!$A:$A,0))</f>
        <v>1</v>
      </c>
      <c r="X12" s="206">
        <f>INDEX(Facilitietenprofielen!O:O,MATCH($J12,Facilitietenprofielen!$A:$A,0))</f>
        <v>1</v>
      </c>
      <c r="Y12" s="206">
        <f>INDEX(Facilitietenprofielen!P:P,MATCH($J12,Facilitietenprofielen!$A:$A,0))</f>
        <v>1</v>
      </c>
      <c r="Z12" s="206">
        <f>INDEX(Facilitietenprofielen!Q:Q,MATCH($J12,Facilitietenprofielen!$A:$A,0))</f>
        <v>1</v>
      </c>
      <c r="AA12" s="206">
        <f>INDEX(Facilitietenprofielen!R:R,MATCH($J12,Facilitietenprofielen!$A:$A,0))</f>
        <v>1</v>
      </c>
      <c r="AB12" s="206">
        <f>INDEX(Facilitietenprofielen!S:S,MATCH($J12,Facilitietenprofielen!$A:$A,0))</f>
        <v>1</v>
      </c>
      <c r="AC12" s="206">
        <f>INDEX(Facilitietenprofielen!T:T,MATCH($J12,Facilitietenprofielen!$A:$A,0))</f>
        <v>1</v>
      </c>
      <c r="AD12" s="206">
        <f>INDEX(Facilitietenprofielen!U:U,MATCH($J12,Facilitietenprofielen!$A:$A,0))</f>
        <v>1</v>
      </c>
      <c r="AE12" s="206">
        <f>INDEX(Facilitietenprofielen!Y:Y,MATCH($J12,Facilitietenprofielen!$A:$A,0))</f>
        <v>1</v>
      </c>
      <c r="AF12" s="206">
        <f>INDEX(Facilitietenprofielen!Z:Z,MATCH($J12,Facilitietenprofielen!$A:$A,0))</f>
        <v>1</v>
      </c>
      <c r="AG12" s="206">
        <f>INDEX(Facilitietenprofielen!AA:AA,MATCH($J12,Facilitietenprofielen!$A:$A,0))</f>
        <v>1</v>
      </c>
      <c r="AH12" s="206">
        <f>INDEX(Facilitietenprofielen!AB:AB,MATCH($J12,Facilitietenprofielen!$A:$A,0))</f>
        <v>1</v>
      </c>
      <c r="AI12" s="206">
        <f>INDEX(Facilitietenprofielen!AC:AC,MATCH($J12,Facilitietenprofielen!$A:$A,0))</f>
        <v>1</v>
      </c>
      <c r="AJ12" s="206">
        <f>INDEX(Facilitietenprofielen!AD:AD,MATCH($J12,Facilitietenprofielen!$A:$A,0))</f>
        <v>1</v>
      </c>
      <c r="AK12" s="206">
        <f>INDEX(Facilitietenprofielen!AE:AE,MATCH($J12,Facilitietenprofielen!$A:$A,0))</f>
        <v>1</v>
      </c>
      <c r="AL12" s="206">
        <f>INDEX(Facilitietenprofielen!AF:AF,MATCH($J12,Facilitietenprofielen!$A:$A,0))</f>
        <v>1</v>
      </c>
      <c r="AM12" s="206">
        <f>INDEX(Facilitietenprofielen!AG:AG,MATCH($J12,Facilitietenprofielen!$A:$A,0))</f>
        <v>1</v>
      </c>
      <c r="AN12" s="206">
        <f>INDEX(Facilitietenprofielen!AH:AH,MATCH($J12,Facilitietenprofielen!$A:$A,0))</f>
        <v>1</v>
      </c>
      <c r="AO12" s="206">
        <f>INDEX(Facilitietenprofielen!AI:AI,MATCH($J12,Facilitietenprofielen!$A:$A,0))</f>
        <v>1</v>
      </c>
      <c r="AP12" s="206">
        <f>INDEX(Facilitietenprofielen!AJ:AJ,MATCH($J12,Facilitietenprofielen!$A:$A,0))</f>
        <v>1</v>
      </c>
      <c r="AQ12" s="206">
        <f>INDEX(Facilitietenprofielen!AK:AK,MATCH($J12,Facilitietenprofielen!$A:$A,0))</f>
        <v>1</v>
      </c>
      <c r="AR12" s="206">
        <f>INDEX(Facilitietenprofielen!AL:AL,MATCH($J12,Facilitietenprofielen!$A:$A,0))</f>
        <v>1</v>
      </c>
      <c r="AS12" s="206">
        <f>INDEX(Facilitietenprofielen!AM:AM,MATCH($J12,Facilitietenprofielen!$A:$A,0))</f>
        <v>1</v>
      </c>
      <c r="AT12" s="206">
        <f>INDEX(Facilitietenprofielen!AN:AN,MATCH($J12,Facilitietenprofielen!$A:$A,0))</f>
        <v>1</v>
      </c>
      <c r="AU12" s="206">
        <f>INDEX(Facilitietenprofielen!AO:AO,MATCH($J12,Facilitietenprofielen!$A:$A,0))</f>
        <v>1</v>
      </c>
      <c r="AV12" s="207">
        <f>INDEX(Facilitietenprofielen!AP:AP,MATCH($J12,Facilitietenprofielen!$A:$A,0))</f>
        <v>1</v>
      </c>
      <c r="AW12" s="206">
        <f>INDEX('Rekenblad Aansluiting'!$O:$O,MATCH($G12&amp;" "&amp;$E12&amp;BE$3&amp;$H12,'Rekenblad Aansluiting'!$A:$A,0))</f>
        <v>102.77777777777777</v>
      </c>
      <c r="AX12" s="206">
        <f>INDEX('Rekenblad Aansluiting'!$O:$O,MATCH($G12&amp;" "&amp;$E12&amp;BF$3&amp;$H12,'Rekenblad Aansluiting'!$A:$A,0))</f>
        <v>102.77777777777777</v>
      </c>
      <c r="AY12" s="206">
        <f>INDEX('Rekenblad Aansluiting'!$O:$O,MATCH($G12&amp;" "&amp;$E12&amp;BG$3&amp;$H12,'Rekenblad Aansluiting'!$A:$A,0))</f>
        <v>102.77777777777777</v>
      </c>
      <c r="AZ12" s="206">
        <f>INDEX('Rekenblad Aansluiting'!$O:$O,MATCH($G12&amp;" "&amp;$E12&amp;BH$3&amp;$H12,'Rekenblad Aansluiting'!$A:$A,0))</f>
        <v>102.77777777777777</v>
      </c>
      <c r="BA12" s="206">
        <f>INDEX('Rekenblad Aansluiting'!$O:$O,MATCH($G12&amp;" "&amp;$E12&amp;BI$3&amp;$H12,'Rekenblad Aansluiting'!$A:$A,0))</f>
        <v>102.77777777777777</v>
      </c>
      <c r="BB12" s="206">
        <f>INDEX('Rekenblad Aansluiting'!$O:$O,MATCH($G12&amp;" "&amp;$E12&amp;BJ$3&amp;$H12,'Rekenblad Aansluiting'!$A:$A,0))</f>
        <v>102.77777777777777</v>
      </c>
      <c r="BC12" s="206">
        <f>INDEX('Rekenblad Aansluiting'!$O:$O,MATCH($G12&amp;" "&amp;$E12&amp;BK$3&amp;$H12,'Rekenblad Aansluiting'!$A:$A,0))</f>
        <v>102.77777777777777</v>
      </c>
      <c r="BD12" s="206">
        <f>(K12+L12)*AW12+AX12*M12+(N12+O12)*AY12+SUMPRODUCT(AZ12:BC12,P12:S12)</f>
        <v>4625</v>
      </c>
      <c r="BE12" s="212">
        <f>INDEX('Rekenblad Aansluiting'!$X:$X,MATCH($G12&amp;" "&amp;$E12&amp;BE$3&amp;$H12,'Rekenblad Aansluiting'!$A:$A,0))</f>
        <v>78.617966949999996</v>
      </c>
      <c r="BF12" s="213">
        <f>INDEX('Rekenblad Aansluiting'!$X:$X,MATCH($G12&amp;" "&amp;$E12&amp;BF$3&amp;$H12,'Rekenblad Aansluiting'!$A:$A,0))</f>
        <v>78.617966949999996</v>
      </c>
      <c r="BG12" s="213">
        <f>INDEX('Rekenblad Aansluiting'!$X:$X,MATCH($G12&amp;" "&amp;$E12&amp;BG$3&amp;$H12,'Rekenblad Aansluiting'!$A:$A,0))</f>
        <v>78.617966949999996</v>
      </c>
      <c r="BH12" s="213">
        <f>INDEX('Rekenblad Aansluiting'!$X:$X,MATCH($G12&amp;" "&amp;$E12&amp;BH$3&amp;$H12,'Rekenblad Aansluiting'!$A:$A,0))</f>
        <v>68.579043694444437</v>
      </c>
      <c r="BI12" s="213">
        <f>INDEX('Rekenblad Aansluiting'!$X:$X,MATCH($G12&amp;" "&amp;$E12&amp;BI$3&amp;$H12,'Rekenblad Aansluiting'!$A:$A,0))</f>
        <v>68.579043694444437</v>
      </c>
      <c r="BJ12" s="213">
        <f>INDEX('Rekenblad Aansluiting'!$X:$X,MATCH($G12&amp;" "&amp;$E12&amp;BJ$3&amp;$H12,'Rekenblad Aansluiting'!$A:$A,0))</f>
        <v>68.579043694444437</v>
      </c>
      <c r="BK12" s="213">
        <f>INDEX('Rekenblad Aansluiting'!$X:$X,MATCH($G12&amp;" "&amp;$E12&amp;BK$3&amp;$H12,'Rekenblad Aansluiting'!$A:$A,0))</f>
        <v>87.868888888888875</v>
      </c>
      <c r="BL12" s="223">
        <f t="shared" si="0"/>
        <v>3433.4792736111103</v>
      </c>
      <c r="BM12" s="129">
        <f>IF(ISNA(INDEX('Tarieven ZM'!$G:$G,MATCH($G12&amp;BM$3,'Tarieven ZM'!$B:$B,0))),0,INDEX('Tarieven ZM'!$G:$G,MATCH($G12&amp;BM$3,'Tarieven ZM'!$B:$B,0)))</f>
        <v>100</v>
      </c>
      <c r="BN12" s="133">
        <f>IF(ISNA(INDEX('Tarieven ZM'!$G:$G,MATCH($G12&amp;BN$3,'Tarieven ZM'!$B:$B,0))),0,INDEX('Tarieven ZM'!$G:$G,MATCH($G12&amp;BN$3,'Tarieven ZM'!$B:$B,0)))</f>
        <v>100</v>
      </c>
      <c r="BO12" s="133">
        <f>IF(ISNA(INDEX('Tarieven ZM'!$G:$G,MATCH($G12&amp;BO$3,'Tarieven ZM'!$B:$B,0))),0,INDEX('Tarieven ZM'!$G:$G,MATCH($G12&amp;BO$3,'Tarieven ZM'!$B:$B,0)))</f>
        <v>100</v>
      </c>
      <c r="BP12" s="133">
        <f>IF(ISNA(INDEX('Tarieven ZM'!$G:$G,MATCH($G12&amp;BP$3,'Tarieven ZM'!$B:$B,0))),0,INDEX('Tarieven ZM'!$G:$G,MATCH($G12&amp;BP$3,'Tarieven ZM'!$B:$B,0)))</f>
        <v>100</v>
      </c>
      <c r="BQ12" s="133">
        <f>IF(ISNA(INDEX('Tarieven ZM'!$G:$G,MATCH($G12&amp;BQ$3,'Tarieven ZM'!$B:$B,0))),0,INDEX('Tarieven ZM'!$G:$G,MATCH($G12&amp;BQ$3,'Tarieven ZM'!$B:$B,0)))</f>
        <v>100</v>
      </c>
      <c r="BR12" s="133">
        <f>IF(ISNA(INDEX('Tarieven ZM'!$G:$G,MATCH($G12&amp;BR$3,'Tarieven ZM'!$B:$B,0))),0,INDEX('Tarieven ZM'!$G:$G,MATCH($G12&amp;BR$3,'Tarieven ZM'!$B:$B,0)))</f>
        <v>100</v>
      </c>
      <c r="BS12" s="133">
        <f>IF(ISNA(INDEX('Tarieven ZM'!$G:$G,MATCH($G12&amp;BS$3,'Tarieven ZM'!$B:$B,0))),0,INDEX('Tarieven ZM'!$G:$G,MATCH($G12&amp;BS$3,'Tarieven ZM'!$B:$B,0)))</f>
        <v>0</v>
      </c>
      <c r="BT12" s="133">
        <f>IF(ISNA(INDEX('Tarieven ZM'!$G:$G,MATCH($G12&amp;BT$3,'Tarieven ZM'!$B:$B,0))),0,INDEX('Tarieven ZM'!$G:$G,MATCH($G12&amp;BT$3,'Tarieven ZM'!$B:$B,0)))</f>
        <v>0</v>
      </c>
      <c r="BU12" s="133">
        <f>IF(ISNA(INDEX('Tarieven ZM'!$G:$G,MATCH($G12&amp;BU$3,'Tarieven ZM'!$B:$B,0))),0,INDEX('Tarieven ZM'!$G:$G,MATCH($G12&amp;BU$3,'Tarieven ZM'!$B:$B,0)))</f>
        <v>0</v>
      </c>
      <c r="BV12" s="133">
        <f>IF(ISNA(INDEX('Tarieven ZM'!$G:$G,MATCH($G12&amp;BV$3,'Tarieven ZM'!$B:$B,0))),0,INDEX('Tarieven ZM'!$G:$G,MATCH($G12&amp;BV$3,'Tarieven ZM'!$B:$B,0)))</f>
        <v>0</v>
      </c>
      <c r="BW12" s="133">
        <f>IF(ISNA(INDEX('Tarieven ZM'!$G:$G,MATCH($G12&amp;BW$3,'Tarieven ZM'!$B:$B,0))),0,INDEX('Tarieven ZM'!$G:$G,MATCH($G12&amp;BW$3,'Tarieven ZM'!$B:$B,0)))</f>
        <v>0</v>
      </c>
      <c r="BX12" s="133">
        <f>IF(ISNA(INDEX('Tarieven ZM'!$G:$G,MATCH($G12&amp;BX$3,'Tarieven ZM'!$B:$B,0))),0,INDEX('Tarieven ZM'!$G:$G,MATCH($G12&amp;BX$3,'Tarieven ZM'!$B:$B,0)))</f>
        <v>0</v>
      </c>
      <c r="BY12" s="133">
        <f>IF(ISNA(INDEX('Tarieven ZM'!$G:$G,MATCH($G12&amp;BY$3,'Tarieven ZM'!$B:$B,0))),0,INDEX('Tarieven ZM'!$G:$G,MATCH($G12&amp;BY$3,'Tarieven ZM'!$B:$B,0)))</f>
        <v>0</v>
      </c>
      <c r="BZ12" s="133">
        <f>IF(ISNA(INDEX('Tarieven ZM'!$G:$G,MATCH($G12&amp;BZ$3,'Tarieven ZM'!$B:$B,0))),0,INDEX('Tarieven ZM'!$G:$G,MATCH($G12&amp;BZ$3,'Tarieven ZM'!$B:$B,0)))</f>
        <v>0</v>
      </c>
      <c r="CA12" s="133">
        <f>IF(ISNA(INDEX('Tarieven ZM'!$G:$G,MATCH($G12&amp;CA$3,'Tarieven ZM'!$B:$B,0))),0,INDEX('Tarieven ZM'!$G:$G,MATCH($G12&amp;CA$3,'Tarieven ZM'!$B:$B,0)))</f>
        <v>0</v>
      </c>
      <c r="CB12" s="133">
        <f>IF(ISNA(INDEX('Tarieven ZM'!$G:$G,MATCH($G12&amp;CB$3,'Tarieven ZM'!$B:$B,0))),0,INDEX('Tarieven ZM'!$G:$G,MATCH($G12&amp;CB$3,'Tarieven ZM'!$B:$B,0)))</f>
        <v>0</v>
      </c>
      <c r="CC12" s="133">
        <f>IF(ISNA(INDEX('Tarieven ZM'!$G:$G,MATCH($G12&amp;CC$3,'Tarieven ZM'!$B:$B,0))),0,INDEX('Tarieven ZM'!$G:$G,MATCH($G12&amp;CC$3,'Tarieven ZM'!$B:$B,0)))</f>
        <v>0</v>
      </c>
      <c r="CD12" s="133">
        <f>IF(ISNA(INDEX('Tarieven ZM'!$G:$G,MATCH($G12&amp;CD$3,'Tarieven ZM'!$B:$B,0))),0,INDEX('Tarieven ZM'!$G:$G,MATCH($G12&amp;CD$3,'Tarieven ZM'!$B:$B,0)))</f>
        <v>0</v>
      </c>
      <c r="CE12" s="133">
        <f>IF(ISNA(INDEX('Tarieven ZM'!$G:$G,MATCH($G12&amp;CE$3,'Tarieven ZM'!$B:$B,0))),0,INDEX('Tarieven ZM'!$G:$G,MATCH($G12&amp;CE$3,'Tarieven ZM'!$B:$B,0)))</f>
        <v>0</v>
      </c>
      <c r="CF12" s="133">
        <f>IF(ISNA(INDEX('Tarieven ZM'!$G:$G,MATCH($G12&amp;CF$3,'Tarieven ZM'!$B:$B,0))),0,INDEX('Tarieven ZM'!$G:$G,MATCH($G12&amp;CF$3,'Tarieven ZM'!$B:$B,0)))</f>
        <v>0</v>
      </c>
      <c r="CG12" s="133">
        <f>IF(ISNA(INDEX('Tarieven ZM'!$G:$G,MATCH($G12&amp;CG$3,'Tarieven ZM'!$B:$B,0))),0,INDEX('Tarieven ZM'!$G:$G,MATCH($G12&amp;CG$3,'Tarieven ZM'!$B:$B,0)))</f>
        <v>0</v>
      </c>
      <c r="CH12" s="133">
        <f>IF(ISNA(INDEX('Tarieven ZM'!$G:$G,MATCH($G12&amp;CH$3,'Tarieven ZM'!$B:$B,0))),0,INDEX('Tarieven ZM'!$G:$G,MATCH($G12&amp;CH$3,'Tarieven ZM'!$B:$B,0)))</f>
        <v>0</v>
      </c>
      <c r="CI12" s="133">
        <f>IF(ISNA(INDEX('Tarieven ZM'!$G:$G,MATCH($G12&amp;CI$3,'Tarieven ZM'!$B:$B,0))),0,INDEX('Tarieven ZM'!$G:$G,MATCH($G12&amp;CI$3,'Tarieven ZM'!$B:$B,0)))</f>
        <v>0</v>
      </c>
      <c r="CJ12" s="133">
        <f>IF(ISNA(INDEX('Tarieven ZM'!$G:$G,MATCH($G12&amp;CJ$3,'Tarieven ZM'!$B:$B,0))),0,INDEX('Tarieven ZM'!$G:$G,MATCH($G12&amp;CJ$3,'Tarieven ZM'!$B:$B,0)))</f>
        <v>0</v>
      </c>
      <c r="CK12" s="120">
        <f>IF(ISNA(INDEX('Tarieven ZM'!$G:$G,MATCH($G12&amp;CK$3,'Tarieven ZM'!$B:$B,0))),0,INDEX('Tarieven ZM'!$G:$G,MATCH($G12&amp;CK$3,'Tarieven ZM'!$B:$B,0)))</f>
        <v>0</v>
      </c>
      <c r="CL12" s="129">
        <f>IF(ISNA(INDEX('Tarieven ZM'!$H:$H,MATCH($G12&amp;CL$3,'Tarieven ZM'!$B:$B,0))),0,INDEX('Tarieven ZM'!$H:$H,MATCH($G12&amp;CL$3,'Tarieven ZM'!$B:$B,0)))</f>
        <v>1000</v>
      </c>
      <c r="CM12" s="133">
        <f>IF(ISNA(INDEX('Tarieven ZM'!$H:$H,MATCH($G12&amp;CM$3,'Tarieven ZM'!$B:$B,0))),0,INDEX('Tarieven ZM'!$H:$H,MATCH($G12&amp;CM$3,'Tarieven ZM'!$B:$B,0)))</f>
        <v>1000</v>
      </c>
      <c r="CN12" s="133">
        <f>IF(ISNA(INDEX('Tarieven ZM'!$H:$H,MATCH($G12&amp;CN$3,'Tarieven ZM'!$B:$B,0))),0,INDEX('Tarieven ZM'!$H:$H,MATCH($G12&amp;CN$3,'Tarieven ZM'!$B:$B,0)))</f>
        <v>1000</v>
      </c>
      <c r="CO12" s="133">
        <f>IF(ISNA(INDEX('Tarieven ZM'!$H:$H,MATCH($G12&amp;CO$3,'Tarieven ZM'!$B:$B,0))),0,INDEX('Tarieven ZM'!$H:$H,MATCH($G12&amp;CO$3,'Tarieven ZM'!$B:$B,0)))</f>
        <v>1000</v>
      </c>
      <c r="CP12" s="133">
        <f>IF(ISNA(INDEX('Tarieven ZM'!$H:$H,MATCH($G12&amp;CP$3,'Tarieven ZM'!$B:$B,0))),0,INDEX('Tarieven ZM'!$H:$H,MATCH($G12&amp;CP$3,'Tarieven ZM'!$B:$B,0)))</f>
        <v>1000</v>
      </c>
      <c r="CQ12" s="133">
        <f>IF(ISNA(INDEX('Tarieven ZM'!$H:$H,MATCH($G12&amp;CQ$3,'Tarieven ZM'!$B:$B,0))),0,INDEX('Tarieven ZM'!$H:$H,MATCH($G12&amp;CQ$3,'Tarieven ZM'!$B:$B,0)))</f>
        <v>1000</v>
      </c>
      <c r="CR12" s="133">
        <f>IF(ISNA(INDEX('Tarieven ZM'!$H:$H,MATCH($G12&amp;CR$3,'Tarieven ZM'!$B:$B,0))),0,INDEX('Tarieven ZM'!$H:$H,MATCH($G12&amp;CR$3,'Tarieven ZM'!$B:$B,0)))</f>
        <v>1000</v>
      </c>
      <c r="CS12" s="133">
        <f>IF(ISNA(INDEX('Tarieven ZM'!$H:$H,MATCH($G12&amp;CS$3,'Tarieven ZM'!$B:$B,0))),0,INDEX('Tarieven ZM'!$H:$H,MATCH($G12&amp;CS$3,'Tarieven ZM'!$B:$B,0)))</f>
        <v>0</v>
      </c>
      <c r="CT12" s="133">
        <f>IF(ISNA(INDEX('Tarieven ZM'!$H:$H,MATCH($G12&amp;CT$3,'Tarieven ZM'!$B:$B,0))),0,INDEX('Tarieven ZM'!$H:$H,MATCH($G12&amp;CT$3,'Tarieven ZM'!$B:$B,0)))</f>
        <v>0</v>
      </c>
      <c r="CU12" s="133">
        <f>IF(ISNA(INDEX('Tarieven ZM'!$H:$H,MATCH($G12&amp;CU$3,'Tarieven ZM'!$B:$B,0))),0,INDEX('Tarieven ZM'!$H:$H,MATCH($G12&amp;CU$3,'Tarieven ZM'!$B:$B,0)))</f>
        <v>0</v>
      </c>
      <c r="CV12" s="133">
        <f>IF(ISNA(INDEX('Tarieven ZM'!$H:$H,MATCH($G12&amp;CV$3,'Tarieven ZM'!$B:$B,0))),0,INDEX('Tarieven ZM'!$H:$H,MATCH($G12&amp;CV$3,'Tarieven ZM'!$B:$B,0)))</f>
        <v>0</v>
      </c>
      <c r="CW12" s="133">
        <f>IF(ISNA(INDEX('Tarieven ZM'!$H:$H,MATCH($G12&amp;CW$3,'Tarieven ZM'!$B:$B,0))),0,INDEX('Tarieven ZM'!$H:$H,MATCH($G12&amp;CW$3,'Tarieven ZM'!$B:$B,0)))</f>
        <v>0</v>
      </c>
      <c r="CX12" s="133">
        <f>IF(ISNA(INDEX('Tarieven ZM'!$H:$H,MATCH($G12&amp;CX$3,'Tarieven ZM'!$B:$B,0))),0,INDEX('Tarieven ZM'!$H:$H,MATCH($G12&amp;CX$3,'Tarieven ZM'!$B:$B,0)))</f>
        <v>0</v>
      </c>
      <c r="CY12" s="133">
        <f>IF(ISNA(INDEX('Tarieven ZM'!$H:$H,MATCH($G12&amp;CY$3,'Tarieven ZM'!$B:$B,0))),0,INDEX('Tarieven ZM'!$H:$H,MATCH($G12&amp;CY$3,'Tarieven ZM'!$B:$B,0)))</f>
        <v>0</v>
      </c>
      <c r="CZ12" s="133">
        <f>IF(ISNA(INDEX('Tarieven ZM'!$H:$H,MATCH($G12&amp;CZ$3,'Tarieven ZM'!$B:$B,0))),0,INDEX('Tarieven ZM'!$H:$H,MATCH($G12&amp;CZ$3,'Tarieven ZM'!$B:$B,0)))</f>
        <v>0</v>
      </c>
      <c r="DA12" s="133">
        <f>IF(ISNA(INDEX('Tarieven ZM'!$H:$H,MATCH($G12&amp;DA$3,'Tarieven ZM'!$B:$B,0))),0,INDEX('Tarieven ZM'!$H:$H,MATCH($G12&amp;DA$3,'Tarieven ZM'!$B:$B,0)))</f>
        <v>0</v>
      </c>
      <c r="DB12" s="133">
        <f>IF(ISNA(INDEX('Tarieven ZM'!$H:$H,MATCH($G12&amp;DB$3,'Tarieven ZM'!$B:$B,0))),0,INDEX('Tarieven ZM'!$H:$H,MATCH($G12&amp;DB$3,'Tarieven ZM'!$B:$B,0)))</f>
        <v>0</v>
      </c>
      <c r="DC12" s="133">
        <f>IF(ISNA(INDEX('Tarieven ZM'!$H:$H,MATCH($G12&amp;DC$3,'Tarieven ZM'!$B:$B,0))),0,INDEX('Tarieven ZM'!$H:$H,MATCH($G12&amp;DC$3,'Tarieven ZM'!$B:$B,0)))</f>
        <v>0</v>
      </c>
      <c r="DD12" s="133">
        <f>IF(ISNA(INDEX('Tarieven ZM'!$H:$H,MATCH($G12&amp;DD$3,'Tarieven ZM'!$B:$B,0))),0,INDEX('Tarieven ZM'!$H:$H,MATCH($G12&amp;DD$3,'Tarieven ZM'!$B:$B,0)))</f>
        <v>1000</v>
      </c>
      <c r="DE12" s="133">
        <f>IF(ISNA(INDEX('Tarieven ZM'!$H:$H,MATCH($G12&amp;DE$3,'Tarieven ZM'!$B:$B,0))),0,INDEX('Tarieven ZM'!$H:$H,MATCH($G12&amp;DE$3,'Tarieven ZM'!$B:$B,0)))</f>
        <v>0</v>
      </c>
      <c r="DF12" s="133">
        <f>IF(ISNA(INDEX('Tarieven ZM'!$H:$H,MATCH($G12&amp;DF$3,'Tarieven ZM'!$B:$B,0))),0,INDEX('Tarieven ZM'!$H:$H,MATCH($G12&amp;DF$3,'Tarieven ZM'!$B:$B,0)))</f>
        <v>0</v>
      </c>
      <c r="DG12" s="133">
        <f>IF(ISNA(INDEX('Tarieven ZM'!$H:$H,MATCH($G12&amp;DG$3,'Tarieven ZM'!$B:$B,0))),0,INDEX('Tarieven ZM'!$H:$H,MATCH($G12&amp;DG$3,'Tarieven ZM'!$B:$B,0)))</f>
        <v>0</v>
      </c>
      <c r="DH12" s="133">
        <f>IF(ISNA(INDEX('Tarieven ZM'!$H:$H,MATCH($G12&amp;DH$3,'Tarieven ZM'!$B:$B,0))),0,INDEX('Tarieven ZM'!$H:$H,MATCH($G12&amp;DH$3,'Tarieven ZM'!$B:$B,0)))</f>
        <v>0</v>
      </c>
      <c r="DI12" s="133">
        <f>IF(ISNA(INDEX('Tarieven ZM'!$H:$H,MATCH($G12&amp;DI$3,'Tarieven ZM'!$B:$B,0))),0,INDEX('Tarieven ZM'!$H:$H,MATCH($G12&amp;DI$3,'Tarieven ZM'!$B:$B,0)))</f>
        <v>0</v>
      </c>
      <c r="DJ12" s="120">
        <f>IF(ISNA(INDEX('Tarieven ZM'!$H:$H,MATCH($G12&amp;DJ$3,'Tarieven ZM'!$B:$B,0))),0,INDEX('Tarieven ZM'!$H:$H,MATCH($G12&amp;DJ$3,'Tarieven ZM'!$B:$B,0)))</f>
        <v>1000</v>
      </c>
      <c r="DK12" s="212">
        <f t="shared" si="6"/>
        <v>601</v>
      </c>
      <c r="DL12" s="142">
        <f>SUMPRODUCT($X12:$AV12,CL12:DJ12)/Parameters!$B$9</f>
        <v>250</v>
      </c>
      <c r="DM12" s="157">
        <f t="shared" si="7"/>
        <v>851</v>
      </c>
      <c r="DN12" s="129">
        <f>INDEX(WLR!$J:$J,MATCH(DN$4,WLR!$A:$A,0))</f>
        <v>10.39</v>
      </c>
      <c r="DO12" s="133">
        <f>INDEX(WLR!$J:$J,MATCH(DO$4,WLR!$A:$A,0))</f>
        <v>10.39</v>
      </c>
      <c r="DP12" s="133">
        <f>INDEX(WLR!$J:$J,MATCH(DP$4,WLR!$A:$A,0))</f>
        <v>62.94</v>
      </c>
      <c r="DQ12" s="133">
        <f>INDEX(WLR!$J:$J,MATCH(DQ$4,WLR!$A:$A,0))</f>
        <v>62.94</v>
      </c>
      <c r="DR12" s="133">
        <f>INDEX(WLR!$J:$J,MATCH(DR$4,WLR!$A:$A,0))</f>
        <v>494.44</v>
      </c>
      <c r="DS12" s="133">
        <f>INDEX(WLR!$J:$J,MATCH(DS$4,WLR!$A:$A,0))</f>
        <v>494.44</v>
      </c>
      <c r="DT12" s="133">
        <f>INDEX(WLR!$J:$J,MATCH(DT$4,WLR!$A:$A,0))</f>
        <v>3510.28</v>
      </c>
      <c r="DU12" s="133">
        <f>INDEX(WLR!$J:$J,MATCH(DU$4,WLR!$A:$A,0))</f>
        <v>1.19</v>
      </c>
      <c r="DV12" s="133">
        <f>INDEX(WLR!$J:$J,MATCH(DV$4,WLR!$A:$A,0))</f>
        <v>29.43</v>
      </c>
      <c r="DW12" s="133">
        <f>INDEX(WLR!$J:$J,MATCH(DW$4,WLR!$A:$A,0))</f>
        <v>192.45</v>
      </c>
      <c r="DX12" s="133">
        <f>INDEX(WLR!$J:$J,MATCH(DX$4,WLR!$A:$A,0))</f>
        <v>9.8000000000000007</v>
      </c>
      <c r="DY12" s="133">
        <f>INDEX(WLR!$J:$J,MATCH(DY$4,WLR!$A:$A,0))</f>
        <v>34.950000000000003</v>
      </c>
      <c r="DZ12" s="133">
        <f>INDEX(WLR!$J:$J,MATCH(DZ$4,WLR!$A:$A,0))</f>
        <v>34.950000000000003</v>
      </c>
      <c r="EA12" s="133">
        <f>INDEX(WLR!$J:$J,MATCH(EA$4,WLR!$A:$A,0))</f>
        <v>2.08</v>
      </c>
      <c r="EB12" s="133">
        <f>INDEX(WLR!$J:$J,MATCH(EB$4,WLR!$A:$A,0))</f>
        <v>1.97</v>
      </c>
      <c r="EC12" s="133">
        <f>INDEX(WLR!$J:$J,MATCH(EC$4,WLR!$A:$A,0))</f>
        <v>1.97</v>
      </c>
      <c r="ED12" s="133">
        <f>INDEX(WLR!$J:$J,MATCH(ED$4,WLR!$A:$A,0))</f>
        <v>0</v>
      </c>
      <c r="EE12" s="133">
        <f>INDEX(WLR!$J:$J,MATCH(EE$4,WLR!$A:$A,0))</f>
        <v>0</v>
      </c>
      <c r="EF12" s="133">
        <f>INDEX(WLR!$J:$J,MATCH(EF$4,WLR!$A:$A,0))</f>
        <v>0.96</v>
      </c>
      <c r="EG12" s="133">
        <f>INDEX(WLR!$J:$J,MATCH(EG$4,WLR!$A:$A,0))</f>
        <v>4.53</v>
      </c>
      <c r="EH12" s="133">
        <f>INDEX(WLR!$J:$J,MATCH(EH$4,WLR!$A:$A,0))</f>
        <v>4.53</v>
      </c>
      <c r="EI12" s="133">
        <f>INDEX(WLR!$J:$J,MATCH(EI$4,WLR!$A:$A,0))</f>
        <v>7.58</v>
      </c>
      <c r="EJ12" s="133">
        <f>INDEX(WLR!$J:$J,MATCH(EJ$4,WLR!$A:$A,0))</f>
        <v>31.11</v>
      </c>
      <c r="EK12" s="133">
        <f>INDEX(WLR!$J:$J,MATCH(EK$4,WLR!$A:$A,0))</f>
        <v>31.11</v>
      </c>
      <c r="EL12" s="120">
        <f>INDEX(WLR!$J:$J,MATCH(EL$4,WLR!$A:$A,0))</f>
        <v>0.96</v>
      </c>
      <c r="EM12" s="129">
        <f>INDEX(WLR!$I:$I,MATCH(EM$4,WLR!$A:$A,0))</f>
        <v>0</v>
      </c>
      <c r="EN12" s="133">
        <f>INDEX(WLR!$I:$I,MATCH(EN$4,WLR!$A:$A,0))</f>
        <v>16.21</v>
      </c>
      <c r="EO12" s="133">
        <f>INDEX(WLR!$I:$I,MATCH(EO$4,WLR!$A:$A,0))</f>
        <v>0</v>
      </c>
      <c r="EP12" s="133">
        <f>INDEX(WLR!$I:$I,MATCH(EP$4,WLR!$A:$A,0))</f>
        <v>16.21</v>
      </c>
      <c r="EQ12" s="133">
        <f>INDEX(WLR!$I:$I,MATCH(EQ$4,WLR!$A:$A,0))</f>
        <v>0</v>
      </c>
      <c r="ER12" s="133">
        <f>INDEX(WLR!$I:$I,MATCH(ER$4,WLR!$A:$A,0))</f>
        <v>16.21</v>
      </c>
      <c r="ES12" s="133">
        <f>INDEX(WLR!$I:$I,MATCH(ES$4,WLR!$A:$A,0))</f>
        <v>0</v>
      </c>
      <c r="ET12" s="133">
        <f>INDEX(WLR!$I:$I,MATCH(ET$4,WLR!$A:$A,0))</f>
        <v>82.82</v>
      </c>
      <c r="EU12" s="133">
        <f>INDEX(WLR!$I:$I,MATCH(EU$4,WLR!$A:$A,0))</f>
        <v>748.42</v>
      </c>
      <c r="EV12" s="133">
        <f>INDEX(WLR!$I:$I,MATCH(EV$4,WLR!$A:$A,0))</f>
        <v>1282.99</v>
      </c>
      <c r="EW12" s="133">
        <f>INDEX(WLR!$I:$I,MATCH(EW$4,WLR!$A:$A,0))</f>
        <v>16.21</v>
      </c>
      <c r="EX12" s="133">
        <f>INDEX(WLR!$I:$I,MATCH(EX$4,WLR!$A:$A,0))</f>
        <v>79.94</v>
      </c>
      <c r="EY12" s="133">
        <f>INDEX(WLR!$I:$I,MATCH(EY$4,WLR!$A:$A,0))</f>
        <v>839.48</v>
      </c>
      <c r="EZ12" s="133">
        <f>INDEX(WLR!$I:$I,MATCH(EZ$4,WLR!$A:$A,0))</f>
        <v>32.950000000000003</v>
      </c>
      <c r="FA12" s="133">
        <f>INDEX(WLR!$I:$I,MATCH(FA$4,WLR!$A:$A,0))</f>
        <v>16.21</v>
      </c>
      <c r="FB12" s="133">
        <f>INDEX(WLR!$I:$I,MATCH(FB$4,WLR!$A:$A,0))</f>
        <v>16.21</v>
      </c>
      <c r="FC12" s="133">
        <f>INDEX(WLR!$I:$I,MATCH(FC$4,WLR!$A:$A,0))</f>
        <v>0</v>
      </c>
      <c r="FD12" s="133">
        <f>INDEX(WLR!$I:$I,MATCH(FD$4,WLR!$A:$A,0))</f>
        <v>15.73</v>
      </c>
      <c r="FE12" s="133">
        <f>INDEX(WLR!$I:$I,MATCH(FE$4,WLR!$A:$A,0))</f>
        <v>0</v>
      </c>
      <c r="FF12" s="133">
        <f>INDEX(WLR!$I:$I,MATCH(FF$4,WLR!$A:$A,0))</f>
        <v>0</v>
      </c>
      <c r="FG12" s="133">
        <f>INDEX(WLR!$I:$I,MATCH(FG$4,WLR!$A:$A,0))</f>
        <v>0</v>
      </c>
      <c r="FH12" s="133">
        <f>INDEX(WLR!$I:$I,MATCH(FH$4,WLR!$A:$A,0))</f>
        <v>15.73</v>
      </c>
      <c r="FI12" s="133">
        <f>INDEX(WLR!$I:$I,MATCH(FI$4,WLR!$A:$A,0))</f>
        <v>40.06</v>
      </c>
      <c r="FJ12" s="133">
        <f>INDEX(WLR!$I:$I,MATCH(FJ$4,WLR!$A:$A,0))</f>
        <v>40.06</v>
      </c>
      <c r="FK12" s="120">
        <f>INDEX(WLR!$I:$I,MATCH(FK$4,WLR!$A:$A,0))</f>
        <v>0</v>
      </c>
      <c r="FL12" s="168">
        <f>SUMPRODUCT(X12:AV12,DN12:EL12)+V12*(1-Parameters!$B$52)</f>
        <v>5036.1899999999987</v>
      </c>
      <c r="FM12" s="213">
        <f>SUMPRODUCT(X12:AV12,EM12:FK12)/Parameters!$B$9</f>
        <v>90.984444444444435</v>
      </c>
      <c r="FN12" s="136">
        <f t="shared" si="8"/>
        <v>5127.174444444443</v>
      </c>
      <c r="FO12" s="148">
        <f>DM12*Parameters!$B$3</f>
        <v>85.100000000000009</v>
      </c>
      <c r="FP12" s="142">
        <f>IF(LEFT(G12,3)="KPN",(('Vergoedingen grondslag'!$F$11+'Vergoedingen grondslag'!$I$11+'Vergoedingen grondslag'!$L$11+'Vergoedingen grondslag'!$O$11)*DK12)+('Vergoedingen grondslag'!$O$11*DL12+'Vergoedingen grondslag'!$R$11*0+'Vergoedingen grondslag'!$U$11+'Vergoedingen grondslag'!$X$11)/36,(('Vergoedingen grondslag'!$F$20+'Vergoedingen grondslag'!$I$20+'Vergoedingen grondslag'!$L$20+'Vergoedingen grondslag'!$O$20)*DK12)+('Vergoedingen grondslag'!$O$20*DL12+'Vergoedingen grondslag'!$R$20*0+'Vergoedingen grondslag'!$U$20*0)/36)</f>
        <v>24.164999999999999</v>
      </c>
      <c r="FQ12" s="133"/>
      <c r="FR12" s="157">
        <f t="shared" si="9"/>
        <v>109.26500000000001</v>
      </c>
      <c r="FS12" s="166">
        <f t="shared" si="10"/>
        <v>5236.4394444444433</v>
      </c>
      <c r="FT12" s="168">
        <f t="shared" si="1"/>
        <v>3324.21427361111</v>
      </c>
      <c r="FU12" s="145">
        <f t="shared" si="2"/>
        <v>0.60705154740889522</v>
      </c>
      <c r="FV12" s="120" t="b">
        <f t="shared" si="11"/>
        <v>0</v>
      </c>
      <c r="FW12" s="331" t="s">
        <v>868</v>
      </c>
    </row>
    <row r="13" spans="2:179" ht="14.4">
      <c r="B13" s="129"/>
      <c r="C13" s="120"/>
      <c r="D13" s="129" t="s">
        <v>642</v>
      </c>
      <c r="E13" s="133" t="s">
        <v>648</v>
      </c>
      <c r="F13" s="133" t="s">
        <v>465</v>
      </c>
      <c r="G13" s="133" t="s">
        <v>12</v>
      </c>
      <c r="H13" s="133" t="s">
        <v>458</v>
      </c>
      <c r="I13" s="133" t="str">
        <f t="shared" si="3"/>
        <v>TZ BelBasisISDN2VVE nieuwe aanleg</v>
      </c>
      <c r="J13" s="120" t="str">
        <f t="shared" si="4"/>
        <v>n1*ISDN2TZ</v>
      </c>
      <c r="K13" s="205">
        <f>INDEX(Facilitietenprofielen!D:D,MATCH($J13,Facilitietenprofielen!$A:$A,0))</f>
        <v>5</v>
      </c>
      <c r="L13" s="206">
        <f>INDEX(Facilitietenprofielen!E:E,MATCH($J13,Facilitietenprofielen!$A:$A,0))</f>
        <v>5</v>
      </c>
      <c r="M13" s="206">
        <f>INDEX(Facilitietenprofielen!F:F,MATCH($J13,Facilitietenprofielen!$A:$A,0))</f>
        <v>5</v>
      </c>
      <c r="N13" s="206">
        <f>INDEX(Facilitietenprofielen!G:G,MATCH($J13,Facilitietenprofielen!$A:$A,0))</f>
        <v>5</v>
      </c>
      <c r="O13" s="206">
        <f>INDEX(Facilitietenprofielen!H:H,MATCH($J13,Facilitietenprofielen!$A:$A,0))</f>
        <v>5</v>
      </c>
      <c r="P13" s="206">
        <f>INDEX(Facilitietenprofielen!I:I,MATCH($J13,Facilitietenprofielen!$A:$A,0))</f>
        <v>5</v>
      </c>
      <c r="Q13" s="206">
        <f>INDEX(Facilitietenprofielen!J:J,MATCH($J13,Facilitietenprofielen!$A:$A,0))</f>
        <v>5</v>
      </c>
      <c r="R13" s="206">
        <f>INDEX(Facilitietenprofielen!K:K,MATCH($J13,Facilitietenprofielen!$A:$A,0))</f>
        <v>5</v>
      </c>
      <c r="S13" s="206">
        <f>INDEX(Facilitietenprofielen!L:L,MATCH($J13,Facilitietenprofielen!$A:$A,0))</f>
        <v>5</v>
      </c>
      <c r="T13" s="206">
        <f>INDEX(Facilitietenprofielen!M:M,MATCH($J13,Facilitietenprofielen!$A:$A,0))</f>
        <v>510</v>
      </c>
      <c r="U13" s="206">
        <f>INDEX(Facilitietenprofielen!N:N,MATCH($J13,Facilitietenprofielen!$A:$A,0))</f>
        <v>102</v>
      </c>
      <c r="V13" s="206">
        <f>INDEX(Facilitietenprofielen!V:V,MATCH($J13,Facilitietenprofielen!$A:$A,0))</f>
        <v>1</v>
      </c>
      <c r="W13" s="206">
        <f>INDEX(Facilitietenprofielen!W:W,MATCH($J13,Facilitietenprofielen!$A:$A,0))</f>
        <v>1</v>
      </c>
      <c r="X13" s="206">
        <f>INDEX(Facilitietenprofielen!O:O,MATCH($J13,Facilitietenprofielen!$A:$A,0))</f>
        <v>1</v>
      </c>
      <c r="Y13" s="206">
        <f>INDEX(Facilitietenprofielen!P:P,MATCH($J13,Facilitietenprofielen!$A:$A,0))</f>
        <v>1</v>
      </c>
      <c r="Z13" s="206">
        <f>INDEX(Facilitietenprofielen!Q:Q,MATCH($J13,Facilitietenprofielen!$A:$A,0))</f>
        <v>1</v>
      </c>
      <c r="AA13" s="206">
        <f>INDEX(Facilitietenprofielen!R:R,MATCH($J13,Facilitietenprofielen!$A:$A,0))</f>
        <v>1</v>
      </c>
      <c r="AB13" s="206">
        <f>INDEX(Facilitietenprofielen!S:S,MATCH($J13,Facilitietenprofielen!$A:$A,0))</f>
        <v>1</v>
      </c>
      <c r="AC13" s="206">
        <f>INDEX(Facilitietenprofielen!T:T,MATCH($J13,Facilitietenprofielen!$A:$A,0))</f>
        <v>1</v>
      </c>
      <c r="AD13" s="206">
        <f>INDEX(Facilitietenprofielen!U:U,MATCH($J13,Facilitietenprofielen!$A:$A,0))</f>
        <v>1</v>
      </c>
      <c r="AE13" s="206">
        <f>INDEX(Facilitietenprofielen!Y:Y,MATCH($J13,Facilitietenprofielen!$A:$A,0))</f>
        <v>1</v>
      </c>
      <c r="AF13" s="206">
        <f>INDEX(Facilitietenprofielen!Z:Z,MATCH($J13,Facilitietenprofielen!$A:$A,0))</f>
        <v>1</v>
      </c>
      <c r="AG13" s="206">
        <f>INDEX(Facilitietenprofielen!AA:AA,MATCH($J13,Facilitietenprofielen!$A:$A,0))</f>
        <v>1</v>
      </c>
      <c r="AH13" s="206">
        <f>INDEX(Facilitietenprofielen!AB:AB,MATCH($J13,Facilitietenprofielen!$A:$A,0))</f>
        <v>1</v>
      </c>
      <c r="AI13" s="206">
        <f>INDEX(Facilitietenprofielen!AC:AC,MATCH($J13,Facilitietenprofielen!$A:$A,0))</f>
        <v>1</v>
      </c>
      <c r="AJ13" s="206">
        <f>INDEX(Facilitietenprofielen!AD:AD,MATCH($J13,Facilitietenprofielen!$A:$A,0))</f>
        <v>1</v>
      </c>
      <c r="AK13" s="206">
        <f>INDEX(Facilitietenprofielen!AE:AE,MATCH($J13,Facilitietenprofielen!$A:$A,0))</f>
        <v>1</v>
      </c>
      <c r="AL13" s="206">
        <f>INDEX(Facilitietenprofielen!AF:AF,MATCH($J13,Facilitietenprofielen!$A:$A,0))</f>
        <v>1</v>
      </c>
      <c r="AM13" s="206">
        <f>INDEX(Facilitietenprofielen!AG:AG,MATCH($J13,Facilitietenprofielen!$A:$A,0))</f>
        <v>1</v>
      </c>
      <c r="AN13" s="206">
        <f>INDEX(Facilitietenprofielen!AH:AH,MATCH($J13,Facilitietenprofielen!$A:$A,0))</f>
        <v>1</v>
      </c>
      <c r="AO13" s="206">
        <f>INDEX(Facilitietenprofielen!AI:AI,MATCH($J13,Facilitietenprofielen!$A:$A,0))</f>
        <v>1</v>
      </c>
      <c r="AP13" s="206">
        <f>INDEX(Facilitietenprofielen!AJ:AJ,MATCH($J13,Facilitietenprofielen!$A:$A,0))</f>
        <v>1</v>
      </c>
      <c r="AQ13" s="206">
        <f>INDEX(Facilitietenprofielen!AK:AK,MATCH($J13,Facilitietenprofielen!$A:$A,0))</f>
        <v>1</v>
      </c>
      <c r="AR13" s="206">
        <f>INDEX(Facilitietenprofielen!AL:AL,MATCH($J13,Facilitietenprofielen!$A:$A,0))</f>
        <v>1</v>
      </c>
      <c r="AS13" s="206">
        <f>INDEX(Facilitietenprofielen!AM:AM,MATCH($J13,Facilitietenprofielen!$A:$A,0))</f>
        <v>1</v>
      </c>
      <c r="AT13" s="206">
        <f>INDEX(Facilitietenprofielen!AN:AN,MATCH($J13,Facilitietenprofielen!$A:$A,0))</f>
        <v>1</v>
      </c>
      <c r="AU13" s="206">
        <f>INDEX(Facilitietenprofielen!AO:AO,MATCH($J13,Facilitietenprofielen!$A:$A,0))</f>
        <v>1</v>
      </c>
      <c r="AV13" s="207">
        <f>INDEX(Facilitietenprofielen!AP:AP,MATCH($J13,Facilitietenprofielen!$A:$A,0))</f>
        <v>1</v>
      </c>
      <c r="AW13" s="206">
        <f>INDEX('Rekenblad Aansluiting'!$O:$O,MATCH($G13&amp;" "&amp;$E13&amp;BE$3&amp;$H13,'Rekenblad Aansluiting'!$A:$A,0))</f>
        <v>102.77777777777777</v>
      </c>
      <c r="AX13" s="206">
        <f>INDEX('Rekenblad Aansluiting'!$O:$O,MATCH($G13&amp;" "&amp;$E13&amp;BF$3&amp;$H13,'Rekenblad Aansluiting'!$A:$A,0))</f>
        <v>102.77777777777777</v>
      </c>
      <c r="AY13" s="206">
        <f>INDEX('Rekenblad Aansluiting'!$O:$O,MATCH($G13&amp;" "&amp;$E13&amp;BG$3&amp;$H13,'Rekenblad Aansluiting'!$A:$A,0))</f>
        <v>102.77777777777777</v>
      </c>
      <c r="AZ13" s="206">
        <f>INDEX('Rekenblad Aansluiting'!$O:$O,MATCH($G13&amp;" "&amp;$E13&amp;BH$3&amp;$H13,'Rekenblad Aansluiting'!$A:$A,0))</f>
        <v>102.77777777777777</v>
      </c>
      <c r="BA13" s="206">
        <f>INDEX('Rekenblad Aansluiting'!$O:$O,MATCH($G13&amp;" "&amp;$E13&amp;BI$3&amp;$H13,'Rekenblad Aansluiting'!$A:$A,0))</f>
        <v>102.77777777777777</v>
      </c>
      <c r="BB13" s="206">
        <f>INDEX('Rekenblad Aansluiting'!$O:$O,MATCH($G13&amp;" "&amp;$E13&amp;BJ$3&amp;$H13,'Rekenblad Aansluiting'!$A:$A,0))</f>
        <v>102.77777777777777</v>
      </c>
      <c r="BC13" s="206">
        <f>INDEX('Rekenblad Aansluiting'!$O:$O,MATCH($G13&amp;" "&amp;$E13&amp;BK$3&amp;$H13,'Rekenblad Aansluiting'!$A:$A,0))</f>
        <v>102.77777777777777</v>
      </c>
      <c r="BD13" s="206">
        <f t="shared" si="5"/>
        <v>4625</v>
      </c>
      <c r="BE13" s="212">
        <f>INDEX('Rekenblad Aansluiting'!$X:$X,MATCH($G13&amp;" "&amp;$E13&amp;BE$3&amp;$H13,'Rekenblad Aansluiting'!$A:$A,0))</f>
        <v>77.073244727777777</v>
      </c>
      <c r="BF13" s="213">
        <f>INDEX('Rekenblad Aansluiting'!$X:$X,MATCH($G13&amp;" "&amp;$E13&amp;BF$3&amp;$H13,'Rekenblad Aansluiting'!$A:$A,0))</f>
        <v>77.073244727777777</v>
      </c>
      <c r="BG13" s="213">
        <f>INDEX('Rekenblad Aansluiting'!$X:$X,MATCH($G13&amp;" "&amp;$E13&amp;BG$3&amp;$H13,'Rekenblad Aansluiting'!$A:$A,0))</f>
        <v>77.073244727777777</v>
      </c>
      <c r="BH13" s="213">
        <f>INDEX('Rekenblad Aansluiting'!$X:$X,MATCH($G13&amp;" "&amp;$E13&amp;BH$3&amp;$H13,'Rekenblad Aansluiting'!$A:$A,0))</f>
        <v>65.434321472222223</v>
      </c>
      <c r="BI13" s="213">
        <f>INDEX('Rekenblad Aansluiting'!$X:$X,MATCH($G13&amp;" "&amp;$E13&amp;BI$3&amp;$H13,'Rekenblad Aansluiting'!$A:$A,0))</f>
        <v>65.434321472222223</v>
      </c>
      <c r="BJ13" s="213">
        <f>INDEX('Rekenblad Aansluiting'!$X:$X,MATCH($G13&amp;" "&amp;$E13&amp;BJ$3&amp;$H13,'Rekenblad Aansluiting'!$A:$A,0))</f>
        <v>65.434321472222223</v>
      </c>
      <c r="BK13" s="213">
        <f>INDEX('Rekenblad Aansluiting'!$X:$X,MATCH($G13&amp;" "&amp;$E13&amp;BK$3&amp;$H13,'Rekenblad Aansluiting'!$A:$A,0))</f>
        <v>87.924166666666665</v>
      </c>
      <c r="BL13" s="223">
        <f t="shared" si="0"/>
        <v>3347.966773611111</v>
      </c>
      <c r="BM13" s="129">
        <f>IF(ISNA(INDEX('Tarieven ZM'!$G:$G,MATCH($G13&amp;BM$3,'Tarieven ZM'!$B:$B,0))),0,INDEX('Tarieven ZM'!$G:$G,MATCH($G13&amp;BM$3,'Tarieven ZM'!$B:$B,0)))</f>
        <v>100</v>
      </c>
      <c r="BN13" s="133">
        <f>IF(ISNA(INDEX('Tarieven ZM'!$G:$G,MATCH($G13&amp;BN$3,'Tarieven ZM'!$B:$B,0))),0,INDEX('Tarieven ZM'!$G:$G,MATCH($G13&amp;BN$3,'Tarieven ZM'!$B:$B,0)))</f>
        <v>100</v>
      </c>
      <c r="BO13" s="133">
        <f>IF(ISNA(INDEX('Tarieven ZM'!$G:$G,MATCH($G13&amp;BO$3,'Tarieven ZM'!$B:$B,0))),0,INDEX('Tarieven ZM'!$G:$G,MATCH($G13&amp;BO$3,'Tarieven ZM'!$B:$B,0)))</f>
        <v>100</v>
      </c>
      <c r="BP13" s="133">
        <f>IF(ISNA(INDEX('Tarieven ZM'!$G:$G,MATCH($G13&amp;BP$3,'Tarieven ZM'!$B:$B,0))),0,INDEX('Tarieven ZM'!$G:$G,MATCH($G13&amp;BP$3,'Tarieven ZM'!$B:$B,0)))</f>
        <v>100</v>
      </c>
      <c r="BQ13" s="133">
        <f>IF(ISNA(INDEX('Tarieven ZM'!$G:$G,MATCH($G13&amp;BQ$3,'Tarieven ZM'!$B:$B,0))),0,INDEX('Tarieven ZM'!$G:$G,MATCH($G13&amp;BQ$3,'Tarieven ZM'!$B:$B,0)))</f>
        <v>100</v>
      </c>
      <c r="BR13" s="133">
        <f>IF(ISNA(INDEX('Tarieven ZM'!$G:$G,MATCH($G13&amp;BR$3,'Tarieven ZM'!$B:$B,0))),0,INDEX('Tarieven ZM'!$G:$G,MATCH($G13&amp;BR$3,'Tarieven ZM'!$B:$B,0)))</f>
        <v>100</v>
      </c>
      <c r="BS13" s="133">
        <f>IF(ISNA(INDEX('Tarieven ZM'!$G:$G,MATCH($G13&amp;BS$3,'Tarieven ZM'!$B:$B,0))),0,INDEX('Tarieven ZM'!$G:$G,MATCH($G13&amp;BS$3,'Tarieven ZM'!$B:$B,0)))</f>
        <v>0</v>
      </c>
      <c r="BT13" s="133">
        <f>IF(ISNA(INDEX('Tarieven ZM'!$G:$G,MATCH($G13&amp;BT$3,'Tarieven ZM'!$B:$B,0))),0,INDEX('Tarieven ZM'!$G:$G,MATCH($G13&amp;BT$3,'Tarieven ZM'!$B:$B,0)))</f>
        <v>0</v>
      </c>
      <c r="BU13" s="133">
        <f>IF(ISNA(INDEX('Tarieven ZM'!$G:$G,MATCH($G13&amp;BU$3,'Tarieven ZM'!$B:$B,0))),0,INDEX('Tarieven ZM'!$G:$G,MATCH($G13&amp;BU$3,'Tarieven ZM'!$B:$B,0)))</f>
        <v>0</v>
      </c>
      <c r="BV13" s="133">
        <f>IF(ISNA(INDEX('Tarieven ZM'!$G:$G,MATCH($G13&amp;BV$3,'Tarieven ZM'!$B:$B,0))),0,INDEX('Tarieven ZM'!$G:$G,MATCH($G13&amp;BV$3,'Tarieven ZM'!$B:$B,0)))</f>
        <v>0</v>
      </c>
      <c r="BW13" s="133">
        <f>IF(ISNA(INDEX('Tarieven ZM'!$G:$G,MATCH($G13&amp;BW$3,'Tarieven ZM'!$B:$B,0))),0,INDEX('Tarieven ZM'!$G:$G,MATCH($G13&amp;BW$3,'Tarieven ZM'!$B:$B,0)))</f>
        <v>100</v>
      </c>
      <c r="BX13" s="133">
        <f>IF(ISNA(INDEX('Tarieven ZM'!$G:$G,MATCH($G13&amp;BX$3,'Tarieven ZM'!$B:$B,0))),0,INDEX('Tarieven ZM'!$G:$G,MATCH($G13&amp;BX$3,'Tarieven ZM'!$B:$B,0)))</f>
        <v>0</v>
      </c>
      <c r="BY13" s="133">
        <f>IF(ISNA(INDEX('Tarieven ZM'!$G:$G,MATCH($G13&amp;BY$3,'Tarieven ZM'!$B:$B,0))),0,INDEX('Tarieven ZM'!$G:$G,MATCH($G13&amp;BY$3,'Tarieven ZM'!$B:$B,0)))</f>
        <v>0</v>
      </c>
      <c r="BZ13" s="133">
        <f>IF(ISNA(INDEX('Tarieven ZM'!$G:$G,MATCH($G13&amp;BZ$3,'Tarieven ZM'!$B:$B,0))),0,INDEX('Tarieven ZM'!$G:$G,MATCH($G13&amp;BZ$3,'Tarieven ZM'!$B:$B,0)))</f>
        <v>100</v>
      </c>
      <c r="CA13" s="133">
        <f>IF(ISNA(INDEX('Tarieven ZM'!$G:$G,MATCH($G13&amp;CA$3,'Tarieven ZM'!$B:$B,0))),0,INDEX('Tarieven ZM'!$G:$G,MATCH($G13&amp;CA$3,'Tarieven ZM'!$B:$B,0)))</f>
        <v>100</v>
      </c>
      <c r="CB13" s="133">
        <f>IF(ISNA(INDEX('Tarieven ZM'!$G:$G,MATCH($G13&amp;CB$3,'Tarieven ZM'!$B:$B,0))),0,INDEX('Tarieven ZM'!$G:$G,MATCH($G13&amp;CB$3,'Tarieven ZM'!$B:$B,0)))</f>
        <v>100</v>
      </c>
      <c r="CC13" s="133">
        <f>IF(ISNA(INDEX('Tarieven ZM'!$G:$G,MATCH($G13&amp;CC$3,'Tarieven ZM'!$B:$B,0))),0,INDEX('Tarieven ZM'!$G:$G,MATCH($G13&amp;CC$3,'Tarieven ZM'!$B:$B,0)))</f>
        <v>100</v>
      </c>
      <c r="CD13" s="133">
        <f>IF(ISNA(INDEX('Tarieven ZM'!$G:$G,MATCH($G13&amp;CD$3,'Tarieven ZM'!$B:$B,0))),0,INDEX('Tarieven ZM'!$G:$G,MATCH($G13&amp;CD$3,'Tarieven ZM'!$B:$B,0)))</f>
        <v>100</v>
      </c>
      <c r="CE13" s="133">
        <f>IF(ISNA(INDEX('Tarieven ZM'!$G:$G,MATCH($G13&amp;CE$3,'Tarieven ZM'!$B:$B,0))),0,INDEX('Tarieven ZM'!$G:$G,MATCH($G13&amp;CE$3,'Tarieven ZM'!$B:$B,0)))</f>
        <v>0</v>
      </c>
      <c r="CF13" s="133">
        <f>IF(ISNA(INDEX('Tarieven ZM'!$G:$G,MATCH($G13&amp;CF$3,'Tarieven ZM'!$B:$B,0))),0,INDEX('Tarieven ZM'!$G:$G,MATCH($G13&amp;CF$3,'Tarieven ZM'!$B:$B,0)))</f>
        <v>100</v>
      </c>
      <c r="CG13" s="133">
        <f>IF(ISNA(INDEX('Tarieven ZM'!$G:$G,MATCH($G13&amp;CG$3,'Tarieven ZM'!$B:$B,0))),0,INDEX('Tarieven ZM'!$G:$G,MATCH($G13&amp;CG$3,'Tarieven ZM'!$B:$B,0)))</f>
        <v>100</v>
      </c>
      <c r="CH13" s="133">
        <f>IF(ISNA(INDEX('Tarieven ZM'!$G:$G,MATCH($G13&amp;CH$3,'Tarieven ZM'!$B:$B,0))),0,INDEX('Tarieven ZM'!$G:$G,MATCH($G13&amp;CH$3,'Tarieven ZM'!$B:$B,0)))</f>
        <v>0</v>
      </c>
      <c r="CI13" s="133">
        <f>IF(ISNA(INDEX('Tarieven ZM'!$G:$G,MATCH($G13&amp;CI$3,'Tarieven ZM'!$B:$B,0))),0,INDEX('Tarieven ZM'!$G:$G,MATCH($G13&amp;CI$3,'Tarieven ZM'!$B:$B,0)))</f>
        <v>0</v>
      </c>
      <c r="CJ13" s="133">
        <f>IF(ISNA(INDEX('Tarieven ZM'!$G:$G,MATCH($G13&amp;CJ$3,'Tarieven ZM'!$B:$B,0))),0,INDEX('Tarieven ZM'!$G:$G,MATCH($G13&amp;CJ$3,'Tarieven ZM'!$B:$B,0)))</f>
        <v>0</v>
      </c>
      <c r="CK13" s="120">
        <f>IF(ISNA(INDEX('Tarieven ZM'!$G:$G,MATCH($G13&amp;CK$3,'Tarieven ZM'!$B:$B,0))),0,INDEX('Tarieven ZM'!$G:$G,MATCH($G13&amp;CK$3,'Tarieven ZM'!$B:$B,0)))</f>
        <v>0</v>
      </c>
      <c r="CL13" s="129">
        <f>IF(ISNA(INDEX('Tarieven ZM'!$H:$H,MATCH($G13&amp;CL$3,'Tarieven ZM'!$B:$B,0))),0,INDEX('Tarieven ZM'!$H:$H,MATCH($G13&amp;CL$3,'Tarieven ZM'!$B:$B,0)))</f>
        <v>1000</v>
      </c>
      <c r="CM13" s="133">
        <f>IF(ISNA(INDEX('Tarieven ZM'!$H:$H,MATCH($G13&amp;CM$3,'Tarieven ZM'!$B:$B,0))),0,INDEX('Tarieven ZM'!$H:$H,MATCH($G13&amp;CM$3,'Tarieven ZM'!$B:$B,0)))</f>
        <v>1000</v>
      </c>
      <c r="CN13" s="133">
        <f>IF(ISNA(INDEX('Tarieven ZM'!$H:$H,MATCH($G13&amp;CN$3,'Tarieven ZM'!$B:$B,0))),0,INDEX('Tarieven ZM'!$H:$H,MATCH($G13&amp;CN$3,'Tarieven ZM'!$B:$B,0)))</f>
        <v>1000</v>
      </c>
      <c r="CO13" s="133">
        <f>IF(ISNA(INDEX('Tarieven ZM'!$H:$H,MATCH($G13&amp;CO$3,'Tarieven ZM'!$B:$B,0))),0,INDEX('Tarieven ZM'!$H:$H,MATCH($G13&amp;CO$3,'Tarieven ZM'!$B:$B,0)))</f>
        <v>1000</v>
      </c>
      <c r="CP13" s="133">
        <f>IF(ISNA(INDEX('Tarieven ZM'!$H:$H,MATCH($G13&amp;CP$3,'Tarieven ZM'!$B:$B,0))),0,INDEX('Tarieven ZM'!$H:$H,MATCH($G13&amp;CP$3,'Tarieven ZM'!$B:$B,0)))</f>
        <v>1000</v>
      </c>
      <c r="CQ13" s="133">
        <f>IF(ISNA(INDEX('Tarieven ZM'!$H:$H,MATCH($G13&amp;CQ$3,'Tarieven ZM'!$B:$B,0))),0,INDEX('Tarieven ZM'!$H:$H,MATCH($G13&amp;CQ$3,'Tarieven ZM'!$B:$B,0)))</f>
        <v>1000</v>
      </c>
      <c r="CR13" s="133">
        <f>IF(ISNA(INDEX('Tarieven ZM'!$H:$H,MATCH($G13&amp;CR$3,'Tarieven ZM'!$B:$B,0))),0,INDEX('Tarieven ZM'!$H:$H,MATCH($G13&amp;CR$3,'Tarieven ZM'!$B:$B,0)))</f>
        <v>1000</v>
      </c>
      <c r="CS13" s="133">
        <f>IF(ISNA(INDEX('Tarieven ZM'!$H:$H,MATCH($G13&amp;CS$3,'Tarieven ZM'!$B:$B,0))),0,INDEX('Tarieven ZM'!$H:$H,MATCH($G13&amp;CS$3,'Tarieven ZM'!$B:$B,0)))</f>
        <v>1000</v>
      </c>
      <c r="CT13" s="133">
        <f>IF(ISNA(INDEX('Tarieven ZM'!$H:$H,MATCH($G13&amp;CT$3,'Tarieven ZM'!$B:$B,0))),0,INDEX('Tarieven ZM'!$H:$H,MATCH($G13&amp;CT$3,'Tarieven ZM'!$B:$B,0)))</f>
        <v>1000</v>
      </c>
      <c r="CU13" s="133">
        <f>IF(ISNA(INDEX('Tarieven ZM'!$H:$H,MATCH($G13&amp;CU$3,'Tarieven ZM'!$B:$B,0))),0,INDEX('Tarieven ZM'!$H:$H,MATCH($G13&amp;CU$3,'Tarieven ZM'!$B:$B,0)))</f>
        <v>1000</v>
      </c>
      <c r="CV13" s="133">
        <f>IF(ISNA(INDEX('Tarieven ZM'!$H:$H,MATCH($G13&amp;CV$3,'Tarieven ZM'!$B:$B,0))),0,INDEX('Tarieven ZM'!$H:$H,MATCH($G13&amp;CV$3,'Tarieven ZM'!$B:$B,0)))</f>
        <v>1000</v>
      </c>
      <c r="CW13" s="133">
        <f>IF(ISNA(INDEX('Tarieven ZM'!$H:$H,MATCH($G13&amp;CW$3,'Tarieven ZM'!$B:$B,0))),0,INDEX('Tarieven ZM'!$H:$H,MATCH($G13&amp;CW$3,'Tarieven ZM'!$B:$B,0)))</f>
        <v>1000</v>
      </c>
      <c r="CX13" s="133">
        <f>IF(ISNA(INDEX('Tarieven ZM'!$H:$H,MATCH($G13&amp;CX$3,'Tarieven ZM'!$B:$B,0))),0,INDEX('Tarieven ZM'!$H:$H,MATCH($G13&amp;CX$3,'Tarieven ZM'!$B:$B,0)))</f>
        <v>1000</v>
      </c>
      <c r="CY13" s="133">
        <f>IF(ISNA(INDEX('Tarieven ZM'!$H:$H,MATCH($G13&amp;CY$3,'Tarieven ZM'!$B:$B,0))),0,INDEX('Tarieven ZM'!$H:$H,MATCH($G13&amp;CY$3,'Tarieven ZM'!$B:$B,0)))</f>
        <v>1000</v>
      </c>
      <c r="CZ13" s="133">
        <f>IF(ISNA(INDEX('Tarieven ZM'!$H:$H,MATCH($G13&amp;CZ$3,'Tarieven ZM'!$B:$B,0))),0,INDEX('Tarieven ZM'!$H:$H,MATCH($G13&amp;CZ$3,'Tarieven ZM'!$B:$B,0)))</f>
        <v>1000</v>
      </c>
      <c r="DA13" s="133">
        <f>IF(ISNA(INDEX('Tarieven ZM'!$H:$H,MATCH($G13&amp;DA$3,'Tarieven ZM'!$B:$B,0))),0,INDEX('Tarieven ZM'!$H:$H,MATCH($G13&amp;DA$3,'Tarieven ZM'!$B:$B,0)))</f>
        <v>1000</v>
      </c>
      <c r="DB13" s="133">
        <f>IF(ISNA(INDEX('Tarieven ZM'!$H:$H,MATCH($G13&amp;DB$3,'Tarieven ZM'!$B:$B,0))),0,INDEX('Tarieven ZM'!$H:$H,MATCH($G13&amp;DB$3,'Tarieven ZM'!$B:$B,0)))</f>
        <v>1000</v>
      </c>
      <c r="DC13" s="133">
        <f>IF(ISNA(INDEX('Tarieven ZM'!$H:$H,MATCH($G13&amp;DC$3,'Tarieven ZM'!$B:$B,0))),0,INDEX('Tarieven ZM'!$H:$H,MATCH($G13&amp;DC$3,'Tarieven ZM'!$B:$B,0)))</f>
        <v>1000</v>
      </c>
      <c r="DD13" s="133">
        <f>IF(ISNA(INDEX('Tarieven ZM'!$H:$H,MATCH($G13&amp;DD$3,'Tarieven ZM'!$B:$B,0))),0,INDEX('Tarieven ZM'!$H:$H,MATCH($G13&amp;DD$3,'Tarieven ZM'!$B:$B,0)))</f>
        <v>1000</v>
      </c>
      <c r="DE13" s="133">
        <f>IF(ISNA(INDEX('Tarieven ZM'!$H:$H,MATCH($G13&amp;DE$3,'Tarieven ZM'!$B:$B,0))),0,INDEX('Tarieven ZM'!$H:$H,MATCH($G13&amp;DE$3,'Tarieven ZM'!$B:$B,0)))</f>
        <v>1000</v>
      </c>
      <c r="DF13" s="133">
        <f>IF(ISNA(INDEX('Tarieven ZM'!$H:$H,MATCH($G13&amp;DF$3,'Tarieven ZM'!$B:$B,0))),0,INDEX('Tarieven ZM'!$H:$H,MATCH($G13&amp;DF$3,'Tarieven ZM'!$B:$B,0)))</f>
        <v>1000</v>
      </c>
      <c r="DG13" s="133">
        <f>IF(ISNA(INDEX('Tarieven ZM'!$H:$H,MATCH($G13&amp;DG$3,'Tarieven ZM'!$B:$B,0))),0,INDEX('Tarieven ZM'!$H:$H,MATCH($G13&amp;DG$3,'Tarieven ZM'!$B:$B,0)))</f>
        <v>1000</v>
      </c>
      <c r="DH13" s="133">
        <f>IF(ISNA(INDEX('Tarieven ZM'!$H:$H,MATCH($G13&amp;DH$3,'Tarieven ZM'!$B:$B,0))),0,INDEX('Tarieven ZM'!$H:$H,MATCH($G13&amp;DH$3,'Tarieven ZM'!$B:$B,0)))</f>
        <v>1000</v>
      </c>
      <c r="DI13" s="133">
        <f>IF(ISNA(INDEX('Tarieven ZM'!$H:$H,MATCH($G13&amp;DI$3,'Tarieven ZM'!$B:$B,0))),0,INDEX('Tarieven ZM'!$H:$H,MATCH($G13&amp;DI$3,'Tarieven ZM'!$B:$B,0)))</f>
        <v>1000</v>
      </c>
      <c r="DJ13" s="120">
        <f>IF(ISNA(INDEX('Tarieven ZM'!$H:$H,MATCH($G13&amp;DJ$3,'Tarieven ZM'!$B:$B,0))),0,INDEX('Tarieven ZM'!$H:$H,MATCH($G13&amp;DJ$3,'Tarieven ZM'!$B:$B,0)))</f>
        <v>1000</v>
      </c>
      <c r="DK13" s="212">
        <f t="shared" si="6"/>
        <v>1401</v>
      </c>
      <c r="DL13" s="142">
        <f>SUMPRODUCT($X13:$AV13,CL13:DJ13)/Parameters!$B$9</f>
        <v>694.44444444444446</v>
      </c>
      <c r="DM13" s="157">
        <f t="shared" si="7"/>
        <v>2095.4444444444443</v>
      </c>
      <c r="DN13" s="129">
        <f>INDEX(WLR!$J:$J,MATCH(DN$4,WLR!$A:$A,0))</f>
        <v>10.39</v>
      </c>
      <c r="DO13" s="133">
        <f>INDEX(WLR!$J:$J,MATCH(DO$4,WLR!$A:$A,0))</f>
        <v>10.39</v>
      </c>
      <c r="DP13" s="133">
        <f>INDEX(WLR!$J:$J,MATCH(DP$4,WLR!$A:$A,0))</f>
        <v>62.94</v>
      </c>
      <c r="DQ13" s="133">
        <f>INDEX(WLR!$J:$J,MATCH(DQ$4,WLR!$A:$A,0))</f>
        <v>62.94</v>
      </c>
      <c r="DR13" s="133">
        <f>INDEX(WLR!$J:$J,MATCH(DR$4,WLR!$A:$A,0))</f>
        <v>494.44</v>
      </c>
      <c r="DS13" s="133">
        <f>INDEX(WLR!$J:$J,MATCH(DS$4,WLR!$A:$A,0))</f>
        <v>494.44</v>
      </c>
      <c r="DT13" s="133">
        <f>INDEX(WLR!$J:$J,MATCH(DT$4,WLR!$A:$A,0))</f>
        <v>3510.28</v>
      </c>
      <c r="DU13" s="133">
        <f>INDEX(WLR!$J:$J,MATCH(DU$4,WLR!$A:$A,0))</f>
        <v>1.19</v>
      </c>
      <c r="DV13" s="133">
        <f>INDEX(WLR!$J:$J,MATCH(DV$4,WLR!$A:$A,0))</f>
        <v>29.43</v>
      </c>
      <c r="DW13" s="133">
        <f>INDEX(WLR!$J:$J,MATCH(DW$4,WLR!$A:$A,0))</f>
        <v>192.45</v>
      </c>
      <c r="DX13" s="133">
        <f>INDEX(WLR!$J:$J,MATCH(DX$4,WLR!$A:$A,0))</f>
        <v>9.8000000000000007</v>
      </c>
      <c r="DY13" s="133">
        <f>INDEX(WLR!$J:$J,MATCH(DY$4,WLR!$A:$A,0))</f>
        <v>34.950000000000003</v>
      </c>
      <c r="DZ13" s="133">
        <f>INDEX(WLR!$J:$J,MATCH(DZ$4,WLR!$A:$A,0))</f>
        <v>34.950000000000003</v>
      </c>
      <c r="EA13" s="133">
        <f>INDEX(WLR!$J:$J,MATCH(EA$4,WLR!$A:$A,0))</f>
        <v>2.08</v>
      </c>
      <c r="EB13" s="133">
        <f>INDEX(WLR!$J:$J,MATCH(EB$4,WLR!$A:$A,0))</f>
        <v>1.97</v>
      </c>
      <c r="EC13" s="133">
        <f>INDEX(WLR!$J:$J,MATCH(EC$4,WLR!$A:$A,0))</f>
        <v>1.97</v>
      </c>
      <c r="ED13" s="133">
        <f>INDEX(WLR!$J:$J,MATCH(ED$4,WLR!$A:$A,0))</f>
        <v>0</v>
      </c>
      <c r="EE13" s="133">
        <f>INDEX(WLR!$J:$J,MATCH(EE$4,WLR!$A:$A,0))</f>
        <v>0</v>
      </c>
      <c r="EF13" s="133">
        <f>INDEX(WLR!$J:$J,MATCH(EF$4,WLR!$A:$A,0))</f>
        <v>0.96</v>
      </c>
      <c r="EG13" s="133">
        <f>INDEX(WLR!$J:$J,MATCH(EG$4,WLR!$A:$A,0))</f>
        <v>4.53</v>
      </c>
      <c r="EH13" s="133">
        <f>INDEX(WLR!$J:$J,MATCH(EH$4,WLR!$A:$A,0))</f>
        <v>4.53</v>
      </c>
      <c r="EI13" s="133">
        <f>INDEX(WLR!$J:$J,MATCH(EI$4,WLR!$A:$A,0))</f>
        <v>7.58</v>
      </c>
      <c r="EJ13" s="133">
        <f>INDEX(WLR!$J:$J,MATCH(EJ$4,WLR!$A:$A,0))</f>
        <v>31.11</v>
      </c>
      <c r="EK13" s="133">
        <f>INDEX(WLR!$J:$J,MATCH(EK$4,WLR!$A:$A,0))</f>
        <v>31.11</v>
      </c>
      <c r="EL13" s="120">
        <f>INDEX(WLR!$J:$J,MATCH(EL$4,WLR!$A:$A,0))</f>
        <v>0.96</v>
      </c>
      <c r="EM13" s="129">
        <f>INDEX(WLR!$I:$I,MATCH(EM$4,WLR!$A:$A,0))</f>
        <v>0</v>
      </c>
      <c r="EN13" s="133">
        <f>INDEX(WLR!$I:$I,MATCH(EN$4,WLR!$A:$A,0))</f>
        <v>16.21</v>
      </c>
      <c r="EO13" s="133">
        <f>INDEX(WLR!$I:$I,MATCH(EO$4,WLR!$A:$A,0))</f>
        <v>0</v>
      </c>
      <c r="EP13" s="133">
        <f>INDEX(WLR!$I:$I,MATCH(EP$4,WLR!$A:$A,0))</f>
        <v>16.21</v>
      </c>
      <c r="EQ13" s="133">
        <f>INDEX(WLR!$I:$I,MATCH(EQ$4,WLR!$A:$A,0))</f>
        <v>0</v>
      </c>
      <c r="ER13" s="133">
        <f>INDEX(WLR!$I:$I,MATCH(ER$4,WLR!$A:$A,0))</f>
        <v>16.21</v>
      </c>
      <c r="ES13" s="133">
        <f>INDEX(WLR!$I:$I,MATCH(ES$4,WLR!$A:$A,0))</f>
        <v>0</v>
      </c>
      <c r="ET13" s="133">
        <f>INDEX(WLR!$I:$I,MATCH(ET$4,WLR!$A:$A,0))</f>
        <v>82.82</v>
      </c>
      <c r="EU13" s="133">
        <f>INDEX(WLR!$I:$I,MATCH(EU$4,WLR!$A:$A,0))</f>
        <v>748.42</v>
      </c>
      <c r="EV13" s="133">
        <f>INDEX(WLR!$I:$I,MATCH(EV$4,WLR!$A:$A,0))</f>
        <v>1282.99</v>
      </c>
      <c r="EW13" s="133">
        <f>INDEX(WLR!$I:$I,MATCH(EW$4,WLR!$A:$A,0))</f>
        <v>16.21</v>
      </c>
      <c r="EX13" s="133">
        <f>INDEX(WLR!$I:$I,MATCH(EX$4,WLR!$A:$A,0))</f>
        <v>79.94</v>
      </c>
      <c r="EY13" s="133">
        <f>INDEX(WLR!$I:$I,MATCH(EY$4,WLR!$A:$A,0))</f>
        <v>839.48</v>
      </c>
      <c r="EZ13" s="133">
        <f>INDEX(WLR!$I:$I,MATCH(EZ$4,WLR!$A:$A,0))</f>
        <v>32.950000000000003</v>
      </c>
      <c r="FA13" s="133">
        <f>INDEX(WLR!$I:$I,MATCH(FA$4,WLR!$A:$A,0))</f>
        <v>16.21</v>
      </c>
      <c r="FB13" s="133">
        <f>INDEX(WLR!$I:$I,MATCH(FB$4,WLR!$A:$A,0))</f>
        <v>16.21</v>
      </c>
      <c r="FC13" s="133">
        <f>INDEX(WLR!$I:$I,MATCH(FC$4,WLR!$A:$A,0))</f>
        <v>0</v>
      </c>
      <c r="FD13" s="133">
        <f>INDEX(WLR!$I:$I,MATCH(FD$4,WLR!$A:$A,0))</f>
        <v>15.73</v>
      </c>
      <c r="FE13" s="133">
        <f>INDEX(WLR!$I:$I,MATCH(FE$4,WLR!$A:$A,0))</f>
        <v>0</v>
      </c>
      <c r="FF13" s="133">
        <f>INDEX(WLR!$I:$I,MATCH(FF$4,WLR!$A:$A,0))</f>
        <v>0</v>
      </c>
      <c r="FG13" s="133">
        <f>INDEX(WLR!$I:$I,MATCH(FG$4,WLR!$A:$A,0))</f>
        <v>0</v>
      </c>
      <c r="FH13" s="133">
        <f>INDEX(WLR!$I:$I,MATCH(FH$4,WLR!$A:$A,0))</f>
        <v>15.73</v>
      </c>
      <c r="FI13" s="133">
        <f>INDEX(WLR!$I:$I,MATCH(FI$4,WLR!$A:$A,0))</f>
        <v>40.06</v>
      </c>
      <c r="FJ13" s="133">
        <f>INDEX(WLR!$I:$I,MATCH(FJ$4,WLR!$A:$A,0))</f>
        <v>40.06</v>
      </c>
      <c r="FK13" s="120">
        <f>INDEX(WLR!$I:$I,MATCH(FK$4,WLR!$A:$A,0))</f>
        <v>0</v>
      </c>
      <c r="FL13" s="168">
        <f>SUMPRODUCT(X13:AV13,DN13:EL13)+V13*(1-Parameters!$B$52)</f>
        <v>5036.1899999999987</v>
      </c>
      <c r="FM13" s="213">
        <f>SUMPRODUCT(X13:AV13,EM13:FK13)/Parameters!$B$9</f>
        <v>90.984444444444435</v>
      </c>
      <c r="FN13" s="136">
        <f t="shared" si="8"/>
        <v>5127.174444444443</v>
      </c>
      <c r="FO13" s="148">
        <f>DM13*Parameters!$B$3</f>
        <v>209.54444444444445</v>
      </c>
      <c r="FP13" s="142">
        <f>IF(LEFT(G13,3)="KPN",(('Vergoedingen grondslag'!$F$11+'Vergoedingen grondslag'!$I$11+'Vergoedingen grondslag'!$L$11+'Vergoedingen grondslag'!$O$11)*DK13)+('Vergoedingen grondslag'!$O$11*DL13+'Vergoedingen grondslag'!$R$11*0+'Vergoedingen grondslag'!$U$11+'Vergoedingen grondslag'!$X$11)/36,(('Vergoedingen grondslag'!$F$20+'Vergoedingen grondslag'!$I$20+'Vergoedingen grondslag'!$L$20+'Vergoedingen grondslag'!$O$20)*DK13)+('Vergoedingen grondslag'!$O$20*DL13+'Vergoedingen grondslag'!$R$20*0+'Vergoedingen grondslag'!$U$20*0)/36)</f>
        <v>56.232901234567898</v>
      </c>
      <c r="FQ13" s="133"/>
      <c r="FR13" s="157">
        <f t="shared" si="9"/>
        <v>265.77734567901234</v>
      </c>
      <c r="FS13" s="166">
        <f t="shared" si="10"/>
        <v>5392.9517901234558</v>
      </c>
      <c r="FT13" s="168">
        <f t="shared" si="1"/>
        <v>3082.1894279320986</v>
      </c>
      <c r="FU13" s="145">
        <f t="shared" si="2"/>
        <v>0.45862880846817156</v>
      </c>
      <c r="FV13" s="120" t="b">
        <f t="shared" si="11"/>
        <v>0</v>
      </c>
      <c r="FW13" s="331" t="s">
        <v>868</v>
      </c>
    </row>
    <row r="14" spans="2:179" ht="14.4">
      <c r="B14" s="129"/>
      <c r="C14" s="120"/>
      <c r="D14" s="129" t="s">
        <v>643</v>
      </c>
      <c r="E14" s="133" t="s">
        <v>648</v>
      </c>
      <c r="F14" s="133" t="s">
        <v>466</v>
      </c>
      <c r="G14" s="133" t="s">
        <v>12</v>
      </c>
      <c r="H14" s="133" t="s">
        <v>458</v>
      </c>
      <c r="I14" s="133" t="str">
        <f t="shared" si="3"/>
        <v>TZ BelBasisISDN15VVE nieuwe aanleg</v>
      </c>
      <c r="J14" s="120" t="str">
        <f t="shared" si="4"/>
        <v>n2*ISDN15TZ</v>
      </c>
      <c r="K14" s="205">
        <f>INDEX(Facilitietenprofielen!D:D,MATCH($J14,Facilitietenprofielen!$A:$A,0))</f>
        <v>5</v>
      </c>
      <c r="L14" s="206">
        <f>INDEX(Facilitietenprofielen!E:E,MATCH($J14,Facilitietenprofielen!$A:$A,0))</f>
        <v>5</v>
      </c>
      <c r="M14" s="206">
        <f>INDEX(Facilitietenprofielen!F:F,MATCH($J14,Facilitietenprofielen!$A:$A,0))</f>
        <v>5</v>
      </c>
      <c r="N14" s="206">
        <f>INDEX(Facilitietenprofielen!G:G,MATCH($J14,Facilitietenprofielen!$A:$A,0))</f>
        <v>5</v>
      </c>
      <c r="O14" s="206">
        <f>INDEX(Facilitietenprofielen!H:H,MATCH($J14,Facilitietenprofielen!$A:$A,0))</f>
        <v>5</v>
      </c>
      <c r="P14" s="206">
        <f>INDEX(Facilitietenprofielen!I:I,MATCH($J14,Facilitietenprofielen!$A:$A,0))</f>
        <v>5</v>
      </c>
      <c r="Q14" s="206">
        <f>INDEX(Facilitietenprofielen!J:J,MATCH($J14,Facilitietenprofielen!$A:$A,0))</f>
        <v>5</v>
      </c>
      <c r="R14" s="206">
        <f>INDEX(Facilitietenprofielen!K:K,MATCH($J14,Facilitietenprofielen!$A:$A,0))</f>
        <v>5</v>
      </c>
      <c r="S14" s="206">
        <f>INDEX(Facilitietenprofielen!L:L,MATCH($J14,Facilitietenprofielen!$A:$A,0))</f>
        <v>5</v>
      </c>
      <c r="T14" s="206">
        <f>INDEX(Facilitietenprofielen!M:M,MATCH($J14,Facilitietenprofielen!$A:$A,0))</f>
        <v>510</v>
      </c>
      <c r="U14" s="206">
        <f>INDEX(Facilitietenprofielen!N:N,MATCH($J14,Facilitietenprofielen!$A:$A,0))</f>
        <v>102</v>
      </c>
      <c r="V14" s="206">
        <f>INDEX(Facilitietenprofielen!V:V,MATCH($J14,Facilitietenprofielen!$A:$A,0))</f>
        <v>1</v>
      </c>
      <c r="W14" s="206">
        <f>INDEX(Facilitietenprofielen!W:W,MATCH($J14,Facilitietenprofielen!$A:$A,0))</f>
        <v>1</v>
      </c>
      <c r="X14" s="206">
        <f>INDEX(Facilitietenprofielen!O:O,MATCH($J14,Facilitietenprofielen!$A:$A,0))</f>
        <v>1</v>
      </c>
      <c r="Y14" s="206">
        <f>INDEX(Facilitietenprofielen!P:P,MATCH($J14,Facilitietenprofielen!$A:$A,0))</f>
        <v>1</v>
      </c>
      <c r="Z14" s="206">
        <f>INDEX(Facilitietenprofielen!Q:Q,MATCH($J14,Facilitietenprofielen!$A:$A,0))</f>
        <v>1</v>
      </c>
      <c r="AA14" s="206">
        <f>INDEX(Facilitietenprofielen!R:R,MATCH($J14,Facilitietenprofielen!$A:$A,0))</f>
        <v>1</v>
      </c>
      <c r="AB14" s="206">
        <f>INDEX(Facilitietenprofielen!S:S,MATCH($J14,Facilitietenprofielen!$A:$A,0))</f>
        <v>1</v>
      </c>
      <c r="AC14" s="206">
        <f>INDEX(Facilitietenprofielen!T:T,MATCH($J14,Facilitietenprofielen!$A:$A,0))</f>
        <v>1</v>
      </c>
      <c r="AD14" s="206">
        <f>INDEX(Facilitietenprofielen!U:U,MATCH($J14,Facilitietenprofielen!$A:$A,0))</f>
        <v>1</v>
      </c>
      <c r="AE14" s="206">
        <f>INDEX(Facilitietenprofielen!Y:Y,MATCH($J14,Facilitietenprofielen!$A:$A,0))</f>
        <v>1</v>
      </c>
      <c r="AF14" s="206">
        <f>INDEX(Facilitietenprofielen!Z:Z,MATCH($J14,Facilitietenprofielen!$A:$A,0))</f>
        <v>1</v>
      </c>
      <c r="AG14" s="206">
        <f>INDEX(Facilitietenprofielen!AA:AA,MATCH($J14,Facilitietenprofielen!$A:$A,0))</f>
        <v>1</v>
      </c>
      <c r="AH14" s="206">
        <f>INDEX(Facilitietenprofielen!AB:AB,MATCH($J14,Facilitietenprofielen!$A:$A,0))</f>
        <v>1</v>
      </c>
      <c r="AI14" s="206">
        <f>INDEX(Facilitietenprofielen!AC:AC,MATCH($J14,Facilitietenprofielen!$A:$A,0))</f>
        <v>1</v>
      </c>
      <c r="AJ14" s="206">
        <f>INDEX(Facilitietenprofielen!AD:AD,MATCH($J14,Facilitietenprofielen!$A:$A,0))</f>
        <v>1</v>
      </c>
      <c r="AK14" s="206">
        <f>INDEX(Facilitietenprofielen!AE:AE,MATCH($J14,Facilitietenprofielen!$A:$A,0))</f>
        <v>1</v>
      </c>
      <c r="AL14" s="206">
        <f>INDEX(Facilitietenprofielen!AF:AF,MATCH($J14,Facilitietenprofielen!$A:$A,0))</f>
        <v>1</v>
      </c>
      <c r="AM14" s="206">
        <f>INDEX(Facilitietenprofielen!AG:AG,MATCH($J14,Facilitietenprofielen!$A:$A,0))</f>
        <v>1</v>
      </c>
      <c r="AN14" s="206">
        <f>INDEX(Facilitietenprofielen!AH:AH,MATCH($J14,Facilitietenprofielen!$A:$A,0))</f>
        <v>1</v>
      </c>
      <c r="AO14" s="206">
        <f>INDEX(Facilitietenprofielen!AI:AI,MATCH($J14,Facilitietenprofielen!$A:$A,0))</f>
        <v>1</v>
      </c>
      <c r="AP14" s="206">
        <f>INDEX(Facilitietenprofielen!AJ:AJ,MATCH($J14,Facilitietenprofielen!$A:$A,0))</f>
        <v>1</v>
      </c>
      <c r="AQ14" s="206">
        <f>INDEX(Facilitietenprofielen!AK:AK,MATCH($J14,Facilitietenprofielen!$A:$A,0))</f>
        <v>1</v>
      </c>
      <c r="AR14" s="206">
        <f>INDEX(Facilitietenprofielen!AL:AL,MATCH($J14,Facilitietenprofielen!$A:$A,0))</f>
        <v>1</v>
      </c>
      <c r="AS14" s="206">
        <f>INDEX(Facilitietenprofielen!AM:AM,MATCH($J14,Facilitietenprofielen!$A:$A,0))</f>
        <v>1</v>
      </c>
      <c r="AT14" s="206">
        <f>INDEX(Facilitietenprofielen!AN:AN,MATCH($J14,Facilitietenprofielen!$A:$A,0))</f>
        <v>1</v>
      </c>
      <c r="AU14" s="206">
        <f>INDEX(Facilitietenprofielen!AO:AO,MATCH($J14,Facilitietenprofielen!$A:$A,0))</f>
        <v>1</v>
      </c>
      <c r="AV14" s="207">
        <f>INDEX(Facilitietenprofielen!AP:AP,MATCH($J14,Facilitietenprofielen!$A:$A,0))</f>
        <v>1</v>
      </c>
      <c r="AW14" s="206">
        <f>INDEX('Rekenblad Aansluiting'!$O:$O,MATCH($G14&amp;" "&amp;$E14&amp;BE$3&amp;$H14,'Rekenblad Aansluiting'!$A:$A,0))</f>
        <v>102.77777777777777</v>
      </c>
      <c r="AX14" s="206">
        <f>INDEX('Rekenblad Aansluiting'!$O:$O,MATCH($G14&amp;" "&amp;$E14&amp;BF$3&amp;$H14,'Rekenblad Aansluiting'!$A:$A,0))</f>
        <v>102.77777777777777</v>
      </c>
      <c r="AY14" s="206">
        <f>INDEX('Rekenblad Aansluiting'!$O:$O,MATCH($G14&amp;" "&amp;$E14&amp;BG$3&amp;$H14,'Rekenblad Aansluiting'!$A:$A,0))</f>
        <v>102.77777777777777</v>
      </c>
      <c r="AZ14" s="206">
        <f>INDEX('Rekenblad Aansluiting'!$O:$O,MATCH($G14&amp;" "&amp;$E14&amp;BH$3&amp;$H14,'Rekenblad Aansluiting'!$A:$A,0))</f>
        <v>102.77777777777777</v>
      </c>
      <c r="BA14" s="206">
        <f>INDEX('Rekenblad Aansluiting'!$O:$O,MATCH($G14&amp;" "&amp;$E14&amp;BI$3&amp;$H14,'Rekenblad Aansluiting'!$A:$A,0))</f>
        <v>102.77777777777777</v>
      </c>
      <c r="BB14" s="206">
        <f>INDEX('Rekenblad Aansluiting'!$O:$O,MATCH($G14&amp;" "&amp;$E14&amp;BJ$3&amp;$H14,'Rekenblad Aansluiting'!$A:$A,0))</f>
        <v>102.77777777777777</v>
      </c>
      <c r="BC14" s="206">
        <f>INDEX('Rekenblad Aansluiting'!$O:$O,MATCH($G14&amp;" "&amp;$E14&amp;BK$3&amp;$H14,'Rekenblad Aansluiting'!$A:$A,0))</f>
        <v>102.77777777777777</v>
      </c>
      <c r="BD14" s="206">
        <f t="shared" si="5"/>
        <v>4625</v>
      </c>
      <c r="BE14" s="212">
        <f>INDEX('Rekenblad Aansluiting'!$X:$X,MATCH($G14&amp;" "&amp;$E14&amp;BE$3&amp;$H14,'Rekenblad Aansluiting'!$A:$A,0))</f>
        <v>77.073244727777777</v>
      </c>
      <c r="BF14" s="213">
        <f>INDEX('Rekenblad Aansluiting'!$X:$X,MATCH($G14&amp;" "&amp;$E14&amp;BF$3&amp;$H14,'Rekenblad Aansluiting'!$A:$A,0))</f>
        <v>77.073244727777777</v>
      </c>
      <c r="BG14" s="213">
        <f>INDEX('Rekenblad Aansluiting'!$X:$X,MATCH($G14&amp;" "&amp;$E14&amp;BG$3&amp;$H14,'Rekenblad Aansluiting'!$A:$A,0))</f>
        <v>77.073244727777777</v>
      </c>
      <c r="BH14" s="213">
        <f>INDEX('Rekenblad Aansluiting'!$X:$X,MATCH($G14&amp;" "&amp;$E14&amp;BH$3&amp;$H14,'Rekenblad Aansluiting'!$A:$A,0))</f>
        <v>65.434321472222223</v>
      </c>
      <c r="BI14" s="213">
        <f>INDEX('Rekenblad Aansluiting'!$X:$X,MATCH($G14&amp;" "&amp;$E14&amp;BI$3&amp;$H14,'Rekenblad Aansluiting'!$A:$A,0))</f>
        <v>65.434321472222223</v>
      </c>
      <c r="BJ14" s="213">
        <f>INDEX('Rekenblad Aansluiting'!$X:$X,MATCH($G14&amp;" "&amp;$E14&amp;BJ$3&amp;$H14,'Rekenblad Aansluiting'!$A:$A,0))</f>
        <v>65.434321472222223</v>
      </c>
      <c r="BK14" s="213">
        <f>INDEX('Rekenblad Aansluiting'!$X:$X,MATCH($G14&amp;" "&amp;$E14&amp;BK$3&amp;$H14,'Rekenblad Aansluiting'!$A:$A,0))</f>
        <v>87.924166666666665</v>
      </c>
      <c r="BL14" s="223">
        <f t="shared" si="0"/>
        <v>3347.966773611111</v>
      </c>
      <c r="BM14" s="129">
        <f>IF(ISNA(INDEX('Tarieven ZM'!$G:$G,MATCH($G14&amp;BM$3,'Tarieven ZM'!$B:$B,0))),0,INDEX('Tarieven ZM'!$G:$G,MATCH($G14&amp;BM$3,'Tarieven ZM'!$B:$B,0)))</f>
        <v>100</v>
      </c>
      <c r="BN14" s="133">
        <f>IF(ISNA(INDEX('Tarieven ZM'!$G:$G,MATCH($G14&amp;BN$3,'Tarieven ZM'!$B:$B,0))),0,INDEX('Tarieven ZM'!$G:$G,MATCH($G14&amp;BN$3,'Tarieven ZM'!$B:$B,0)))</f>
        <v>100</v>
      </c>
      <c r="BO14" s="133">
        <f>IF(ISNA(INDEX('Tarieven ZM'!$G:$G,MATCH($G14&amp;BO$3,'Tarieven ZM'!$B:$B,0))),0,INDEX('Tarieven ZM'!$G:$G,MATCH($G14&amp;BO$3,'Tarieven ZM'!$B:$B,0)))</f>
        <v>100</v>
      </c>
      <c r="BP14" s="133">
        <f>IF(ISNA(INDEX('Tarieven ZM'!$G:$G,MATCH($G14&amp;BP$3,'Tarieven ZM'!$B:$B,0))),0,INDEX('Tarieven ZM'!$G:$G,MATCH($G14&amp;BP$3,'Tarieven ZM'!$B:$B,0)))</f>
        <v>100</v>
      </c>
      <c r="BQ14" s="133">
        <f>IF(ISNA(INDEX('Tarieven ZM'!$G:$G,MATCH($G14&amp;BQ$3,'Tarieven ZM'!$B:$B,0))),0,INDEX('Tarieven ZM'!$G:$G,MATCH($G14&amp;BQ$3,'Tarieven ZM'!$B:$B,0)))</f>
        <v>100</v>
      </c>
      <c r="BR14" s="133">
        <f>IF(ISNA(INDEX('Tarieven ZM'!$G:$G,MATCH($G14&amp;BR$3,'Tarieven ZM'!$B:$B,0))),0,INDEX('Tarieven ZM'!$G:$G,MATCH($G14&amp;BR$3,'Tarieven ZM'!$B:$B,0)))</f>
        <v>100</v>
      </c>
      <c r="BS14" s="133">
        <f>IF(ISNA(INDEX('Tarieven ZM'!$G:$G,MATCH($G14&amp;BS$3,'Tarieven ZM'!$B:$B,0))),0,INDEX('Tarieven ZM'!$G:$G,MATCH($G14&amp;BS$3,'Tarieven ZM'!$B:$B,0)))</f>
        <v>0</v>
      </c>
      <c r="BT14" s="133">
        <f>IF(ISNA(INDEX('Tarieven ZM'!$G:$G,MATCH($G14&amp;BT$3,'Tarieven ZM'!$B:$B,0))),0,INDEX('Tarieven ZM'!$G:$G,MATCH($G14&amp;BT$3,'Tarieven ZM'!$B:$B,0)))</f>
        <v>0</v>
      </c>
      <c r="BU14" s="133">
        <f>IF(ISNA(INDEX('Tarieven ZM'!$G:$G,MATCH($G14&amp;BU$3,'Tarieven ZM'!$B:$B,0))),0,INDEX('Tarieven ZM'!$G:$G,MATCH($G14&amp;BU$3,'Tarieven ZM'!$B:$B,0)))</f>
        <v>0</v>
      </c>
      <c r="BV14" s="133">
        <f>IF(ISNA(INDEX('Tarieven ZM'!$G:$G,MATCH($G14&amp;BV$3,'Tarieven ZM'!$B:$B,0))),0,INDEX('Tarieven ZM'!$G:$G,MATCH($G14&amp;BV$3,'Tarieven ZM'!$B:$B,0)))</f>
        <v>0</v>
      </c>
      <c r="BW14" s="133">
        <f>IF(ISNA(INDEX('Tarieven ZM'!$G:$G,MATCH($G14&amp;BW$3,'Tarieven ZM'!$B:$B,0))),0,INDEX('Tarieven ZM'!$G:$G,MATCH($G14&amp;BW$3,'Tarieven ZM'!$B:$B,0)))</f>
        <v>100</v>
      </c>
      <c r="BX14" s="133">
        <f>IF(ISNA(INDEX('Tarieven ZM'!$G:$G,MATCH($G14&amp;BX$3,'Tarieven ZM'!$B:$B,0))),0,INDEX('Tarieven ZM'!$G:$G,MATCH($G14&amp;BX$3,'Tarieven ZM'!$B:$B,0)))</f>
        <v>0</v>
      </c>
      <c r="BY14" s="133">
        <f>IF(ISNA(INDEX('Tarieven ZM'!$G:$G,MATCH($G14&amp;BY$3,'Tarieven ZM'!$B:$B,0))),0,INDEX('Tarieven ZM'!$G:$G,MATCH($G14&amp;BY$3,'Tarieven ZM'!$B:$B,0)))</f>
        <v>0</v>
      </c>
      <c r="BZ14" s="133">
        <f>IF(ISNA(INDEX('Tarieven ZM'!$G:$G,MATCH($G14&amp;BZ$3,'Tarieven ZM'!$B:$B,0))),0,INDEX('Tarieven ZM'!$G:$G,MATCH($G14&amp;BZ$3,'Tarieven ZM'!$B:$B,0)))</f>
        <v>100</v>
      </c>
      <c r="CA14" s="133">
        <f>IF(ISNA(INDEX('Tarieven ZM'!$G:$G,MATCH($G14&amp;CA$3,'Tarieven ZM'!$B:$B,0))),0,INDEX('Tarieven ZM'!$G:$G,MATCH($G14&amp;CA$3,'Tarieven ZM'!$B:$B,0)))</f>
        <v>100</v>
      </c>
      <c r="CB14" s="133">
        <f>IF(ISNA(INDEX('Tarieven ZM'!$G:$G,MATCH($G14&amp;CB$3,'Tarieven ZM'!$B:$B,0))),0,INDEX('Tarieven ZM'!$G:$G,MATCH($G14&amp;CB$3,'Tarieven ZM'!$B:$B,0)))</f>
        <v>100</v>
      </c>
      <c r="CC14" s="133">
        <f>IF(ISNA(INDEX('Tarieven ZM'!$G:$G,MATCH($G14&amp;CC$3,'Tarieven ZM'!$B:$B,0))),0,INDEX('Tarieven ZM'!$G:$G,MATCH($G14&amp;CC$3,'Tarieven ZM'!$B:$B,0)))</f>
        <v>100</v>
      </c>
      <c r="CD14" s="133">
        <f>IF(ISNA(INDEX('Tarieven ZM'!$G:$G,MATCH($G14&amp;CD$3,'Tarieven ZM'!$B:$B,0))),0,INDEX('Tarieven ZM'!$G:$G,MATCH($G14&amp;CD$3,'Tarieven ZM'!$B:$B,0)))</f>
        <v>100</v>
      </c>
      <c r="CE14" s="133">
        <f>IF(ISNA(INDEX('Tarieven ZM'!$G:$G,MATCH($G14&amp;CE$3,'Tarieven ZM'!$B:$B,0))),0,INDEX('Tarieven ZM'!$G:$G,MATCH($G14&amp;CE$3,'Tarieven ZM'!$B:$B,0)))</f>
        <v>0</v>
      </c>
      <c r="CF14" s="133">
        <f>IF(ISNA(INDEX('Tarieven ZM'!$G:$G,MATCH($G14&amp;CF$3,'Tarieven ZM'!$B:$B,0))),0,INDEX('Tarieven ZM'!$G:$G,MATCH($G14&amp;CF$3,'Tarieven ZM'!$B:$B,0)))</f>
        <v>100</v>
      </c>
      <c r="CG14" s="133">
        <f>IF(ISNA(INDEX('Tarieven ZM'!$G:$G,MATCH($G14&amp;CG$3,'Tarieven ZM'!$B:$B,0))),0,INDEX('Tarieven ZM'!$G:$G,MATCH($G14&amp;CG$3,'Tarieven ZM'!$B:$B,0)))</f>
        <v>100</v>
      </c>
      <c r="CH14" s="133">
        <f>IF(ISNA(INDEX('Tarieven ZM'!$G:$G,MATCH($G14&amp;CH$3,'Tarieven ZM'!$B:$B,0))),0,INDEX('Tarieven ZM'!$G:$G,MATCH($G14&amp;CH$3,'Tarieven ZM'!$B:$B,0)))</f>
        <v>0</v>
      </c>
      <c r="CI14" s="133">
        <f>IF(ISNA(INDEX('Tarieven ZM'!$G:$G,MATCH($G14&amp;CI$3,'Tarieven ZM'!$B:$B,0))),0,INDEX('Tarieven ZM'!$G:$G,MATCH($G14&amp;CI$3,'Tarieven ZM'!$B:$B,0)))</f>
        <v>0</v>
      </c>
      <c r="CJ14" s="133">
        <f>IF(ISNA(INDEX('Tarieven ZM'!$G:$G,MATCH($G14&amp;CJ$3,'Tarieven ZM'!$B:$B,0))),0,INDEX('Tarieven ZM'!$G:$G,MATCH($G14&amp;CJ$3,'Tarieven ZM'!$B:$B,0)))</f>
        <v>0</v>
      </c>
      <c r="CK14" s="120">
        <f>IF(ISNA(INDEX('Tarieven ZM'!$G:$G,MATCH($G14&amp;CK$3,'Tarieven ZM'!$B:$B,0))),0,INDEX('Tarieven ZM'!$G:$G,MATCH($G14&amp;CK$3,'Tarieven ZM'!$B:$B,0)))</f>
        <v>0</v>
      </c>
      <c r="CL14" s="129">
        <f>IF(ISNA(INDEX('Tarieven ZM'!$H:$H,MATCH($G14&amp;CL$3,'Tarieven ZM'!$B:$B,0))),0,INDEX('Tarieven ZM'!$H:$H,MATCH($G14&amp;CL$3,'Tarieven ZM'!$B:$B,0)))</f>
        <v>1000</v>
      </c>
      <c r="CM14" s="133">
        <f>IF(ISNA(INDEX('Tarieven ZM'!$H:$H,MATCH($G14&amp;CM$3,'Tarieven ZM'!$B:$B,0))),0,INDEX('Tarieven ZM'!$H:$H,MATCH($G14&amp;CM$3,'Tarieven ZM'!$B:$B,0)))</f>
        <v>1000</v>
      </c>
      <c r="CN14" s="133">
        <f>IF(ISNA(INDEX('Tarieven ZM'!$H:$H,MATCH($G14&amp;CN$3,'Tarieven ZM'!$B:$B,0))),0,INDEX('Tarieven ZM'!$H:$H,MATCH($G14&amp;CN$3,'Tarieven ZM'!$B:$B,0)))</f>
        <v>1000</v>
      </c>
      <c r="CO14" s="133">
        <f>IF(ISNA(INDEX('Tarieven ZM'!$H:$H,MATCH($G14&amp;CO$3,'Tarieven ZM'!$B:$B,0))),0,INDEX('Tarieven ZM'!$H:$H,MATCH($G14&amp;CO$3,'Tarieven ZM'!$B:$B,0)))</f>
        <v>1000</v>
      </c>
      <c r="CP14" s="133">
        <f>IF(ISNA(INDEX('Tarieven ZM'!$H:$H,MATCH($G14&amp;CP$3,'Tarieven ZM'!$B:$B,0))),0,INDEX('Tarieven ZM'!$H:$H,MATCH($G14&amp;CP$3,'Tarieven ZM'!$B:$B,0)))</f>
        <v>1000</v>
      </c>
      <c r="CQ14" s="133">
        <f>IF(ISNA(INDEX('Tarieven ZM'!$H:$H,MATCH($G14&amp;CQ$3,'Tarieven ZM'!$B:$B,0))),0,INDEX('Tarieven ZM'!$H:$H,MATCH($G14&amp;CQ$3,'Tarieven ZM'!$B:$B,0)))</f>
        <v>1000</v>
      </c>
      <c r="CR14" s="133">
        <f>IF(ISNA(INDEX('Tarieven ZM'!$H:$H,MATCH($G14&amp;CR$3,'Tarieven ZM'!$B:$B,0))),0,INDEX('Tarieven ZM'!$H:$H,MATCH($G14&amp;CR$3,'Tarieven ZM'!$B:$B,0)))</f>
        <v>1000</v>
      </c>
      <c r="CS14" s="133">
        <f>IF(ISNA(INDEX('Tarieven ZM'!$H:$H,MATCH($G14&amp;CS$3,'Tarieven ZM'!$B:$B,0))),0,INDEX('Tarieven ZM'!$H:$H,MATCH($G14&amp;CS$3,'Tarieven ZM'!$B:$B,0)))</f>
        <v>1000</v>
      </c>
      <c r="CT14" s="133">
        <f>IF(ISNA(INDEX('Tarieven ZM'!$H:$H,MATCH($G14&amp;CT$3,'Tarieven ZM'!$B:$B,0))),0,INDEX('Tarieven ZM'!$H:$H,MATCH($G14&amp;CT$3,'Tarieven ZM'!$B:$B,0)))</f>
        <v>1000</v>
      </c>
      <c r="CU14" s="133">
        <f>IF(ISNA(INDEX('Tarieven ZM'!$H:$H,MATCH($G14&amp;CU$3,'Tarieven ZM'!$B:$B,0))),0,INDEX('Tarieven ZM'!$H:$H,MATCH($G14&amp;CU$3,'Tarieven ZM'!$B:$B,0)))</f>
        <v>1000</v>
      </c>
      <c r="CV14" s="133">
        <f>IF(ISNA(INDEX('Tarieven ZM'!$H:$H,MATCH($G14&amp;CV$3,'Tarieven ZM'!$B:$B,0))),0,INDEX('Tarieven ZM'!$H:$H,MATCH($G14&amp;CV$3,'Tarieven ZM'!$B:$B,0)))</f>
        <v>1000</v>
      </c>
      <c r="CW14" s="133">
        <f>IF(ISNA(INDEX('Tarieven ZM'!$H:$H,MATCH($G14&amp;CW$3,'Tarieven ZM'!$B:$B,0))),0,INDEX('Tarieven ZM'!$H:$H,MATCH($G14&amp;CW$3,'Tarieven ZM'!$B:$B,0)))</f>
        <v>1000</v>
      </c>
      <c r="CX14" s="133">
        <f>IF(ISNA(INDEX('Tarieven ZM'!$H:$H,MATCH($G14&amp;CX$3,'Tarieven ZM'!$B:$B,0))),0,INDEX('Tarieven ZM'!$H:$H,MATCH($G14&amp;CX$3,'Tarieven ZM'!$B:$B,0)))</f>
        <v>1000</v>
      </c>
      <c r="CY14" s="133">
        <f>IF(ISNA(INDEX('Tarieven ZM'!$H:$H,MATCH($G14&amp;CY$3,'Tarieven ZM'!$B:$B,0))),0,INDEX('Tarieven ZM'!$H:$H,MATCH($G14&amp;CY$3,'Tarieven ZM'!$B:$B,0)))</f>
        <v>1000</v>
      </c>
      <c r="CZ14" s="133">
        <f>IF(ISNA(INDEX('Tarieven ZM'!$H:$H,MATCH($G14&amp;CZ$3,'Tarieven ZM'!$B:$B,0))),0,INDEX('Tarieven ZM'!$H:$H,MATCH($G14&amp;CZ$3,'Tarieven ZM'!$B:$B,0)))</f>
        <v>1000</v>
      </c>
      <c r="DA14" s="133">
        <f>IF(ISNA(INDEX('Tarieven ZM'!$H:$H,MATCH($G14&amp;DA$3,'Tarieven ZM'!$B:$B,0))),0,INDEX('Tarieven ZM'!$H:$H,MATCH($G14&amp;DA$3,'Tarieven ZM'!$B:$B,0)))</f>
        <v>1000</v>
      </c>
      <c r="DB14" s="133">
        <f>IF(ISNA(INDEX('Tarieven ZM'!$H:$H,MATCH($G14&amp;DB$3,'Tarieven ZM'!$B:$B,0))),0,INDEX('Tarieven ZM'!$H:$H,MATCH($G14&amp;DB$3,'Tarieven ZM'!$B:$B,0)))</f>
        <v>1000</v>
      </c>
      <c r="DC14" s="133">
        <f>IF(ISNA(INDEX('Tarieven ZM'!$H:$H,MATCH($G14&amp;DC$3,'Tarieven ZM'!$B:$B,0))),0,INDEX('Tarieven ZM'!$H:$H,MATCH($G14&amp;DC$3,'Tarieven ZM'!$B:$B,0)))</f>
        <v>1000</v>
      </c>
      <c r="DD14" s="133">
        <f>IF(ISNA(INDEX('Tarieven ZM'!$H:$H,MATCH($G14&amp;DD$3,'Tarieven ZM'!$B:$B,0))),0,INDEX('Tarieven ZM'!$H:$H,MATCH($G14&amp;DD$3,'Tarieven ZM'!$B:$B,0)))</f>
        <v>1000</v>
      </c>
      <c r="DE14" s="133">
        <f>IF(ISNA(INDEX('Tarieven ZM'!$H:$H,MATCH($G14&amp;DE$3,'Tarieven ZM'!$B:$B,0))),0,INDEX('Tarieven ZM'!$H:$H,MATCH($G14&amp;DE$3,'Tarieven ZM'!$B:$B,0)))</f>
        <v>1000</v>
      </c>
      <c r="DF14" s="133">
        <f>IF(ISNA(INDEX('Tarieven ZM'!$H:$H,MATCH($G14&amp;DF$3,'Tarieven ZM'!$B:$B,0))),0,INDEX('Tarieven ZM'!$H:$H,MATCH($G14&amp;DF$3,'Tarieven ZM'!$B:$B,0)))</f>
        <v>1000</v>
      </c>
      <c r="DG14" s="133">
        <f>IF(ISNA(INDEX('Tarieven ZM'!$H:$H,MATCH($G14&amp;DG$3,'Tarieven ZM'!$B:$B,0))),0,INDEX('Tarieven ZM'!$H:$H,MATCH($G14&amp;DG$3,'Tarieven ZM'!$B:$B,0)))</f>
        <v>1000</v>
      </c>
      <c r="DH14" s="133">
        <f>IF(ISNA(INDEX('Tarieven ZM'!$H:$H,MATCH($G14&amp;DH$3,'Tarieven ZM'!$B:$B,0))),0,INDEX('Tarieven ZM'!$H:$H,MATCH($G14&amp;DH$3,'Tarieven ZM'!$B:$B,0)))</f>
        <v>1000</v>
      </c>
      <c r="DI14" s="133">
        <f>IF(ISNA(INDEX('Tarieven ZM'!$H:$H,MATCH($G14&amp;DI$3,'Tarieven ZM'!$B:$B,0))),0,INDEX('Tarieven ZM'!$H:$H,MATCH($G14&amp;DI$3,'Tarieven ZM'!$B:$B,0)))</f>
        <v>1000</v>
      </c>
      <c r="DJ14" s="120">
        <f>IF(ISNA(INDEX('Tarieven ZM'!$H:$H,MATCH($G14&amp;DJ$3,'Tarieven ZM'!$B:$B,0))),0,INDEX('Tarieven ZM'!$H:$H,MATCH($G14&amp;DJ$3,'Tarieven ZM'!$B:$B,0)))</f>
        <v>1000</v>
      </c>
      <c r="DK14" s="212">
        <f t="shared" si="6"/>
        <v>1401</v>
      </c>
      <c r="DL14" s="142">
        <f>SUMPRODUCT($X14:$AV14,CL14:DJ14)/Parameters!$B$9</f>
        <v>694.44444444444446</v>
      </c>
      <c r="DM14" s="157">
        <f t="shared" si="7"/>
        <v>2095.4444444444443</v>
      </c>
      <c r="DN14" s="129">
        <f>INDEX(WLR!$J:$J,MATCH(DN$4,WLR!$A:$A,0))</f>
        <v>10.39</v>
      </c>
      <c r="DO14" s="133">
        <f>INDEX(WLR!$J:$J,MATCH(DO$4,WLR!$A:$A,0))</f>
        <v>10.39</v>
      </c>
      <c r="DP14" s="133">
        <f>INDEX(WLR!$J:$J,MATCH(DP$4,WLR!$A:$A,0))</f>
        <v>62.94</v>
      </c>
      <c r="DQ14" s="133">
        <f>INDEX(WLR!$J:$J,MATCH(DQ$4,WLR!$A:$A,0))</f>
        <v>62.94</v>
      </c>
      <c r="DR14" s="133">
        <f>INDEX(WLR!$J:$J,MATCH(DR$4,WLR!$A:$A,0))</f>
        <v>494.44</v>
      </c>
      <c r="DS14" s="133">
        <f>INDEX(WLR!$J:$J,MATCH(DS$4,WLR!$A:$A,0))</f>
        <v>494.44</v>
      </c>
      <c r="DT14" s="133">
        <f>INDEX(WLR!$J:$J,MATCH(DT$4,WLR!$A:$A,0))</f>
        <v>3510.28</v>
      </c>
      <c r="DU14" s="133">
        <f>INDEX(WLR!$J:$J,MATCH(DU$4,WLR!$A:$A,0))</f>
        <v>1.19</v>
      </c>
      <c r="DV14" s="133">
        <f>INDEX(WLR!$J:$J,MATCH(DV$4,WLR!$A:$A,0))</f>
        <v>29.43</v>
      </c>
      <c r="DW14" s="133">
        <f>INDEX(WLR!$J:$J,MATCH(DW$4,WLR!$A:$A,0))</f>
        <v>192.45</v>
      </c>
      <c r="DX14" s="133">
        <f>INDEX(WLR!$J:$J,MATCH(DX$4,WLR!$A:$A,0))</f>
        <v>9.8000000000000007</v>
      </c>
      <c r="DY14" s="133">
        <f>INDEX(WLR!$J:$J,MATCH(DY$4,WLR!$A:$A,0))</f>
        <v>34.950000000000003</v>
      </c>
      <c r="DZ14" s="133">
        <f>INDEX(WLR!$J:$J,MATCH(DZ$4,WLR!$A:$A,0))</f>
        <v>34.950000000000003</v>
      </c>
      <c r="EA14" s="133">
        <f>INDEX(WLR!$J:$J,MATCH(EA$4,WLR!$A:$A,0))</f>
        <v>2.08</v>
      </c>
      <c r="EB14" s="133">
        <f>INDEX(WLR!$J:$J,MATCH(EB$4,WLR!$A:$A,0))</f>
        <v>1.97</v>
      </c>
      <c r="EC14" s="133">
        <f>INDEX(WLR!$J:$J,MATCH(EC$4,WLR!$A:$A,0))</f>
        <v>1.97</v>
      </c>
      <c r="ED14" s="133">
        <f>INDEX(WLR!$J:$J,MATCH(ED$4,WLR!$A:$A,0))</f>
        <v>0</v>
      </c>
      <c r="EE14" s="133">
        <f>INDEX(WLR!$J:$J,MATCH(EE$4,WLR!$A:$A,0))</f>
        <v>0</v>
      </c>
      <c r="EF14" s="133">
        <f>INDEX(WLR!$J:$J,MATCH(EF$4,WLR!$A:$A,0))</f>
        <v>0.96</v>
      </c>
      <c r="EG14" s="133">
        <f>INDEX(WLR!$J:$J,MATCH(EG$4,WLR!$A:$A,0))</f>
        <v>4.53</v>
      </c>
      <c r="EH14" s="133">
        <f>INDEX(WLR!$J:$J,MATCH(EH$4,WLR!$A:$A,0))</f>
        <v>4.53</v>
      </c>
      <c r="EI14" s="133">
        <f>INDEX(WLR!$J:$J,MATCH(EI$4,WLR!$A:$A,0))</f>
        <v>7.58</v>
      </c>
      <c r="EJ14" s="133">
        <f>INDEX(WLR!$J:$J,MATCH(EJ$4,WLR!$A:$A,0))</f>
        <v>31.11</v>
      </c>
      <c r="EK14" s="133">
        <f>INDEX(WLR!$J:$J,MATCH(EK$4,WLR!$A:$A,0))</f>
        <v>31.11</v>
      </c>
      <c r="EL14" s="120">
        <f>INDEX(WLR!$J:$J,MATCH(EL$4,WLR!$A:$A,0))</f>
        <v>0.96</v>
      </c>
      <c r="EM14" s="129">
        <f>INDEX(WLR!$I:$I,MATCH(EM$4,WLR!$A:$A,0))</f>
        <v>0</v>
      </c>
      <c r="EN14" s="133">
        <f>INDEX(WLR!$I:$I,MATCH(EN$4,WLR!$A:$A,0))</f>
        <v>16.21</v>
      </c>
      <c r="EO14" s="133">
        <f>INDEX(WLR!$I:$I,MATCH(EO$4,WLR!$A:$A,0))</f>
        <v>0</v>
      </c>
      <c r="EP14" s="133">
        <f>INDEX(WLR!$I:$I,MATCH(EP$4,WLR!$A:$A,0))</f>
        <v>16.21</v>
      </c>
      <c r="EQ14" s="133">
        <f>INDEX(WLR!$I:$I,MATCH(EQ$4,WLR!$A:$A,0))</f>
        <v>0</v>
      </c>
      <c r="ER14" s="133">
        <f>INDEX(WLR!$I:$I,MATCH(ER$4,WLR!$A:$A,0))</f>
        <v>16.21</v>
      </c>
      <c r="ES14" s="133">
        <f>INDEX(WLR!$I:$I,MATCH(ES$4,WLR!$A:$A,0))</f>
        <v>0</v>
      </c>
      <c r="ET14" s="133">
        <f>INDEX(WLR!$I:$I,MATCH(ET$4,WLR!$A:$A,0))</f>
        <v>82.82</v>
      </c>
      <c r="EU14" s="133">
        <f>INDEX(WLR!$I:$I,MATCH(EU$4,WLR!$A:$A,0))</f>
        <v>748.42</v>
      </c>
      <c r="EV14" s="133">
        <f>INDEX(WLR!$I:$I,MATCH(EV$4,WLR!$A:$A,0))</f>
        <v>1282.99</v>
      </c>
      <c r="EW14" s="133">
        <f>INDEX(WLR!$I:$I,MATCH(EW$4,WLR!$A:$A,0))</f>
        <v>16.21</v>
      </c>
      <c r="EX14" s="133">
        <f>INDEX(WLR!$I:$I,MATCH(EX$4,WLR!$A:$A,0))</f>
        <v>79.94</v>
      </c>
      <c r="EY14" s="133">
        <f>INDEX(WLR!$I:$I,MATCH(EY$4,WLR!$A:$A,0))</f>
        <v>839.48</v>
      </c>
      <c r="EZ14" s="133">
        <f>INDEX(WLR!$I:$I,MATCH(EZ$4,WLR!$A:$A,0))</f>
        <v>32.950000000000003</v>
      </c>
      <c r="FA14" s="133">
        <f>INDEX(WLR!$I:$I,MATCH(FA$4,WLR!$A:$A,0))</f>
        <v>16.21</v>
      </c>
      <c r="FB14" s="133">
        <f>INDEX(WLR!$I:$I,MATCH(FB$4,WLR!$A:$A,0))</f>
        <v>16.21</v>
      </c>
      <c r="FC14" s="133">
        <f>INDEX(WLR!$I:$I,MATCH(FC$4,WLR!$A:$A,0))</f>
        <v>0</v>
      </c>
      <c r="FD14" s="133">
        <f>INDEX(WLR!$I:$I,MATCH(FD$4,WLR!$A:$A,0))</f>
        <v>15.73</v>
      </c>
      <c r="FE14" s="133">
        <f>INDEX(WLR!$I:$I,MATCH(FE$4,WLR!$A:$A,0))</f>
        <v>0</v>
      </c>
      <c r="FF14" s="133">
        <f>INDEX(WLR!$I:$I,MATCH(FF$4,WLR!$A:$A,0))</f>
        <v>0</v>
      </c>
      <c r="FG14" s="133">
        <f>INDEX(WLR!$I:$I,MATCH(FG$4,WLR!$A:$A,0))</f>
        <v>0</v>
      </c>
      <c r="FH14" s="133">
        <f>INDEX(WLR!$I:$I,MATCH(FH$4,WLR!$A:$A,0))</f>
        <v>15.73</v>
      </c>
      <c r="FI14" s="133">
        <f>INDEX(WLR!$I:$I,MATCH(FI$4,WLR!$A:$A,0))</f>
        <v>40.06</v>
      </c>
      <c r="FJ14" s="133">
        <f>INDEX(WLR!$I:$I,MATCH(FJ$4,WLR!$A:$A,0))</f>
        <v>40.06</v>
      </c>
      <c r="FK14" s="120">
        <f>INDEX(WLR!$I:$I,MATCH(FK$4,WLR!$A:$A,0))</f>
        <v>0</v>
      </c>
      <c r="FL14" s="168">
        <f>SUMPRODUCT(X14:AV14,DN14:EL14)+V14*(1-Parameters!$B$52)</f>
        <v>5036.1899999999987</v>
      </c>
      <c r="FM14" s="213">
        <f>SUMPRODUCT(X14:AV14,EM14:FK14)/Parameters!$B$9</f>
        <v>90.984444444444435</v>
      </c>
      <c r="FN14" s="136">
        <f t="shared" si="8"/>
        <v>5127.174444444443</v>
      </c>
      <c r="FO14" s="148">
        <f>DM14*Parameters!$B$3</f>
        <v>209.54444444444445</v>
      </c>
      <c r="FP14" s="142">
        <f>IF(LEFT(G14,3)="KPN",(('Vergoedingen grondslag'!$F$11+'Vergoedingen grondslag'!$I$11+'Vergoedingen grondslag'!$L$11+'Vergoedingen grondslag'!$O$11)*DK14)+('Vergoedingen grondslag'!$O$11*DL14+'Vergoedingen grondslag'!$R$11*0+'Vergoedingen grondslag'!$U$11+'Vergoedingen grondslag'!$X$11)/36,(('Vergoedingen grondslag'!$F$20+'Vergoedingen grondslag'!$I$20+'Vergoedingen grondslag'!$L$20+'Vergoedingen grondslag'!$O$20)*DK14)+('Vergoedingen grondslag'!$O$20*DL14+'Vergoedingen grondslag'!$R$20*0+'Vergoedingen grondslag'!$U$20*0)/36)</f>
        <v>56.232901234567898</v>
      </c>
      <c r="FQ14" s="133"/>
      <c r="FR14" s="157">
        <f t="shared" si="9"/>
        <v>265.77734567901234</v>
      </c>
      <c r="FS14" s="166">
        <f t="shared" si="10"/>
        <v>5392.9517901234558</v>
      </c>
      <c r="FT14" s="168">
        <f t="shared" si="1"/>
        <v>3082.1894279320986</v>
      </c>
      <c r="FU14" s="145">
        <f t="shared" si="2"/>
        <v>0.45862880846817156</v>
      </c>
      <c r="FV14" s="120" t="b">
        <f t="shared" si="11"/>
        <v>0</v>
      </c>
      <c r="FW14" s="331" t="s">
        <v>868</v>
      </c>
    </row>
    <row r="15" spans="2:179" ht="14.4">
      <c r="B15" s="129"/>
      <c r="C15" s="120"/>
      <c r="D15" s="129" t="s">
        <v>644</v>
      </c>
      <c r="E15" s="133" t="s">
        <v>648</v>
      </c>
      <c r="F15" s="133" t="s">
        <v>468</v>
      </c>
      <c r="G15" s="133" t="s">
        <v>12</v>
      </c>
      <c r="H15" s="133" t="s">
        <v>458</v>
      </c>
      <c r="I15" s="133" t="str">
        <f t="shared" si="3"/>
        <v>TZ BelBasisISDN20VVE nieuwe aanleg</v>
      </c>
      <c r="J15" s="120" t="str">
        <f t="shared" si="4"/>
        <v>n3*ISDN20TZ</v>
      </c>
      <c r="K15" s="205">
        <f>INDEX(Facilitietenprofielen!D:D,MATCH($J15,Facilitietenprofielen!$A:$A,0))</f>
        <v>5</v>
      </c>
      <c r="L15" s="206">
        <f>INDEX(Facilitietenprofielen!E:E,MATCH($J15,Facilitietenprofielen!$A:$A,0))</f>
        <v>5</v>
      </c>
      <c r="M15" s="206">
        <f>INDEX(Facilitietenprofielen!F:F,MATCH($J15,Facilitietenprofielen!$A:$A,0))</f>
        <v>5</v>
      </c>
      <c r="N15" s="206">
        <f>INDEX(Facilitietenprofielen!G:G,MATCH($J15,Facilitietenprofielen!$A:$A,0))</f>
        <v>5</v>
      </c>
      <c r="O15" s="206">
        <f>INDEX(Facilitietenprofielen!H:H,MATCH($J15,Facilitietenprofielen!$A:$A,0))</f>
        <v>5</v>
      </c>
      <c r="P15" s="206">
        <f>INDEX(Facilitietenprofielen!I:I,MATCH($J15,Facilitietenprofielen!$A:$A,0))</f>
        <v>5</v>
      </c>
      <c r="Q15" s="206">
        <f>INDEX(Facilitietenprofielen!J:J,MATCH($J15,Facilitietenprofielen!$A:$A,0))</f>
        <v>5</v>
      </c>
      <c r="R15" s="206">
        <f>INDEX(Facilitietenprofielen!K:K,MATCH($J15,Facilitietenprofielen!$A:$A,0))</f>
        <v>5</v>
      </c>
      <c r="S15" s="206">
        <f>INDEX(Facilitietenprofielen!L:L,MATCH($J15,Facilitietenprofielen!$A:$A,0))</f>
        <v>5</v>
      </c>
      <c r="T15" s="206">
        <f>INDEX(Facilitietenprofielen!M:M,MATCH($J15,Facilitietenprofielen!$A:$A,0))</f>
        <v>510</v>
      </c>
      <c r="U15" s="206">
        <f>INDEX(Facilitietenprofielen!N:N,MATCH($J15,Facilitietenprofielen!$A:$A,0))</f>
        <v>102</v>
      </c>
      <c r="V15" s="206">
        <f>INDEX(Facilitietenprofielen!V:V,MATCH($J15,Facilitietenprofielen!$A:$A,0))</f>
        <v>1</v>
      </c>
      <c r="W15" s="206">
        <f>INDEX(Facilitietenprofielen!W:W,MATCH($J15,Facilitietenprofielen!$A:$A,0))</f>
        <v>1</v>
      </c>
      <c r="X15" s="206">
        <f>INDEX(Facilitietenprofielen!O:O,MATCH($J15,Facilitietenprofielen!$A:$A,0))</f>
        <v>1</v>
      </c>
      <c r="Y15" s="206">
        <f>INDEX(Facilitietenprofielen!P:P,MATCH($J15,Facilitietenprofielen!$A:$A,0))</f>
        <v>1</v>
      </c>
      <c r="Z15" s="206">
        <f>INDEX(Facilitietenprofielen!Q:Q,MATCH($J15,Facilitietenprofielen!$A:$A,0))</f>
        <v>1</v>
      </c>
      <c r="AA15" s="206">
        <f>INDEX(Facilitietenprofielen!R:R,MATCH($J15,Facilitietenprofielen!$A:$A,0))</f>
        <v>1</v>
      </c>
      <c r="AB15" s="206">
        <f>INDEX(Facilitietenprofielen!S:S,MATCH($J15,Facilitietenprofielen!$A:$A,0))</f>
        <v>1</v>
      </c>
      <c r="AC15" s="206">
        <f>INDEX(Facilitietenprofielen!T:T,MATCH($J15,Facilitietenprofielen!$A:$A,0))</f>
        <v>1</v>
      </c>
      <c r="AD15" s="206">
        <f>INDEX(Facilitietenprofielen!U:U,MATCH($J15,Facilitietenprofielen!$A:$A,0))</f>
        <v>1</v>
      </c>
      <c r="AE15" s="206">
        <f>INDEX(Facilitietenprofielen!Y:Y,MATCH($J15,Facilitietenprofielen!$A:$A,0))</f>
        <v>1</v>
      </c>
      <c r="AF15" s="206">
        <f>INDEX(Facilitietenprofielen!Z:Z,MATCH($J15,Facilitietenprofielen!$A:$A,0))</f>
        <v>1</v>
      </c>
      <c r="AG15" s="206">
        <f>INDEX(Facilitietenprofielen!AA:AA,MATCH($J15,Facilitietenprofielen!$A:$A,0))</f>
        <v>1</v>
      </c>
      <c r="AH15" s="206">
        <f>INDEX(Facilitietenprofielen!AB:AB,MATCH($J15,Facilitietenprofielen!$A:$A,0))</f>
        <v>1</v>
      </c>
      <c r="AI15" s="206">
        <f>INDEX(Facilitietenprofielen!AC:AC,MATCH($J15,Facilitietenprofielen!$A:$A,0))</f>
        <v>1</v>
      </c>
      <c r="AJ15" s="206">
        <f>INDEX(Facilitietenprofielen!AD:AD,MATCH($J15,Facilitietenprofielen!$A:$A,0))</f>
        <v>1</v>
      </c>
      <c r="AK15" s="206">
        <f>INDEX(Facilitietenprofielen!AE:AE,MATCH($J15,Facilitietenprofielen!$A:$A,0))</f>
        <v>1</v>
      </c>
      <c r="AL15" s="206">
        <f>INDEX(Facilitietenprofielen!AF:AF,MATCH($J15,Facilitietenprofielen!$A:$A,0))</f>
        <v>1</v>
      </c>
      <c r="AM15" s="206">
        <f>INDEX(Facilitietenprofielen!AG:AG,MATCH($J15,Facilitietenprofielen!$A:$A,0))</f>
        <v>1</v>
      </c>
      <c r="AN15" s="206">
        <f>INDEX(Facilitietenprofielen!AH:AH,MATCH($J15,Facilitietenprofielen!$A:$A,0))</f>
        <v>1</v>
      </c>
      <c r="AO15" s="206">
        <f>INDEX(Facilitietenprofielen!AI:AI,MATCH($J15,Facilitietenprofielen!$A:$A,0))</f>
        <v>1</v>
      </c>
      <c r="AP15" s="206">
        <f>INDEX(Facilitietenprofielen!AJ:AJ,MATCH($J15,Facilitietenprofielen!$A:$A,0))</f>
        <v>1</v>
      </c>
      <c r="AQ15" s="206">
        <f>INDEX(Facilitietenprofielen!AK:AK,MATCH($J15,Facilitietenprofielen!$A:$A,0))</f>
        <v>1</v>
      </c>
      <c r="AR15" s="206">
        <f>INDEX(Facilitietenprofielen!AL:AL,MATCH($J15,Facilitietenprofielen!$A:$A,0))</f>
        <v>1</v>
      </c>
      <c r="AS15" s="206">
        <f>INDEX(Facilitietenprofielen!AM:AM,MATCH($J15,Facilitietenprofielen!$A:$A,0))</f>
        <v>1</v>
      </c>
      <c r="AT15" s="206">
        <f>INDEX(Facilitietenprofielen!AN:AN,MATCH($J15,Facilitietenprofielen!$A:$A,0))</f>
        <v>1</v>
      </c>
      <c r="AU15" s="206">
        <f>INDEX(Facilitietenprofielen!AO:AO,MATCH($J15,Facilitietenprofielen!$A:$A,0))</f>
        <v>1</v>
      </c>
      <c r="AV15" s="207">
        <f>INDEX(Facilitietenprofielen!AP:AP,MATCH($J15,Facilitietenprofielen!$A:$A,0))</f>
        <v>1</v>
      </c>
      <c r="AW15" s="206">
        <f>INDEX('Rekenblad Aansluiting'!$O:$O,MATCH($G15&amp;" "&amp;$E15&amp;BE$3&amp;$H15,'Rekenblad Aansluiting'!$A:$A,0))</f>
        <v>102.77777777777777</v>
      </c>
      <c r="AX15" s="206">
        <f>INDEX('Rekenblad Aansluiting'!$O:$O,MATCH($G15&amp;" "&amp;$E15&amp;BF$3&amp;$H15,'Rekenblad Aansluiting'!$A:$A,0))</f>
        <v>102.77777777777777</v>
      </c>
      <c r="AY15" s="206">
        <f>INDEX('Rekenblad Aansluiting'!$O:$O,MATCH($G15&amp;" "&amp;$E15&amp;BG$3&amp;$H15,'Rekenblad Aansluiting'!$A:$A,0))</f>
        <v>102.77777777777777</v>
      </c>
      <c r="AZ15" s="206">
        <f>INDEX('Rekenblad Aansluiting'!$O:$O,MATCH($G15&amp;" "&amp;$E15&amp;BH$3&amp;$H15,'Rekenblad Aansluiting'!$A:$A,0))</f>
        <v>102.77777777777777</v>
      </c>
      <c r="BA15" s="206">
        <f>INDEX('Rekenblad Aansluiting'!$O:$O,MATCH($G15&amp;" "&amp;$E15&amp;BI$3&amp;$H15,'Rekenblad Aansluiting'!$A:$A,0))</f>
        <v>102.77777777777777</v>
      </c>
      <c r="BB15" s="206">
        <f>INDEX('Rekenblad Aansluiting'!$O:$O,MATCH($G15&amp;" "&amp;$E15&amp;BJ$3&amp;$H15,'Rekenblad Aansluiting'!$A:$A,0))</f>
        <v>102.77777777777777</v>
      </c>
      <c r="BC15" s="206">
        <f>INDEX('Rekenblad Aansluiting'!$O:$O,MATCH($G15&amp;" "&amp;$E15&amp;BK$3&amp;$H15,'Rekenblad Aansluiting'!$A:$A,0))</f>
        <v>102.77777777777777</v>
      </c>
      <c r="BD15" s="206">
        <f t="shared" si="5"/>
        <v>4625</v>
      </c>
      <c r="BE15" s="212">
        <f>INDEX('Rekenblad Aansluiting'!$X:$X,MATCH($G15&amp;" "&amp;$E15&amp;BE$3&amp;$H15,'Rekenblad Aansluiting'!$A:$A,0))</f>
        <v>77.073244727777777</v>
      </c>
      <c r="BF15" s="213">
        <f>INDEX('Rekenblad Aansluiting'!$X:$X,MATCH($G15&amp;" "&amp;$E15&amp;BF$3&amp;$H15,'Rekenblad Aansluiting'!$A:$A,0))</f>
        <v>77.073244727777777</v>
      </c>
      <c r="BG15" s="213">
        <f>INDEX('Rekenblad Aansluiting'!$X:$X,MATCH($G15&amp;" "&amp;$E15&amp;BG$3&amp;$H15,'Rekenblad Aansluiting'!$A:$A,0))</f>
        <v>77.073244727777777</v>
      </c>
      <c r="BH15" s="213">
        <f>INDEX('Rekenblad Aansluiting'!$X:$X,MATCH($G15&amp;" "&amp;$E15&amp;BH$3&amp;$H15,'Rekenblad Aansluiting'!$A:$A,0))</f>
        <v>65.434321472222223</v>
      </c>
      <c r="BI15" s="213">
        <f>INDEX('Rekenblad Aansluiting'!$X:$X,MATCH($G15&amp;" "&amp;$E15&amp;BI$3&amp;$H15,'Rekenblad Aansluiting'!$A:$A,0))</f>
        <v>65.434321472222223</v>
      </c>
      <c r="BJ15" s="213">
        <f>INDEX('Rekenblad Aansluiting'!$X:$X,MATCH($G15&amp;" "&amp;$E15&amp;BJ$3&amp;$H15,'Rekenblad Aansluiting'!$A:$A,0))</f>
        <v>65.434321472222223</v>
      </c>
      <c r="BK15" s="213">
        <f>INDEX('Rekenblad Aansluiting'!$X:$X,MATCH($G15&amp;" "&amp;$E15&amp;BK$3&amp;$H15,'Rekenblad Aansluiting'!$A:$A,0))</f>
        <v>87.924166666666665</v>
      </c>
      <c r="BL15" s="223">
        <f t="shared" si="0"/>
        <v>3347.966773611111</v>
      </c>
      <c r="BM15" s="129">
        <f>IF(ISNA(INDEX('Tarieven ZM'!$G:$G,MATCH($G15&amp;BM$3,'Tarieven ZM'!$B:$B,0))),0,INDEX('Tarieven ZM'!$G:$G,MATCH($G15&amp;BM$3,'Tarieven ZM'!$B:$B,0)))</f>
        <v>100</v>
      </c>
      <c r="BN15" s="133">
        <f>IF(ISNA(INDEX('Tarieven ZM'!$G:$G,MATCH($G15&amp;BN$3,'Tarieven ZM'!$B:$B,0))),0,INDEX('Tarieven ZM'!$G:$G,MATCH($G15&amp;BN$3,'Tarieven ZM'!$B:$B,0)))</f>
        <v>100</v>
      </c>
      <c r="BO15" s="133">
        <f>IF(ISNA(INDEX('Tarieven ZM'!$G:$G,MATCH($G15&amp;BO$3,'Tarieven ZM'!$B:$B,0))),0,INDEX('Tarieven ZM'!$G:$G,MATCH($G15&amp;BO$3,'Tarieven ZM'!$B:$B,0)))</f>
        <v>100</v>
      </c>
      <c r="BP15" s="133">
        <f>IF(ISNA(INDEX('Tarieven ZM'!$G:$G,MATCH($G15&amp;BP$3,'Tarieven ZM'!$B:$B,0))),0,INDEX('Tarieven ZM'!$G:$G,MATCH($G15&amp;BP$3,'Tarieven ZM'!$B:$B,0)))</f>
        <v>100</v>
      </c>
      <c r="BQ15" s="133">
        <f>IF(ISNA(INDEX('Tarieven ZM'!$G:$G,MATCH($G15&amp;BQ$3,'Tarieven ZM'!$B:$B,0))),0,INDEX('Tarieven ZM'!$G:$G,MATCH($G15&amp;BQ$3,'Tarieven ZM'!$B:$B,0)))</f>
        <v>100</v>
      </c>
      <c r="BR15" s="133">
        <f>IF(ISNA(INDEX('Tarieven ZM'!$G:$G,MATCH($G15&amp;BR$3,'Tarieven ZM'!$B:$B,0))),0,INDEX('Tarieven ZM'!$G:$G,MATCH($G15&amp;BR$3,'Tarieven ZM'!$B:$B,0)))</f>
        <v>100</v>
      </c>
      <c r="BS15" s="133">
        <f>IF(ISNA(INDEX('Tarieven ZM'!$G:$G,MATCH($G15&amp;BS$3,'Tarieven ZM'!$B:$B,0))),0,INDEX('Tarieven ZM'!$G:$G,MATCH($G15&amp;BS$3,'Tarieven ZM'!$B:$B,0)))</f>
        <v>0</v>
      </c>
      <c r="BT15" s="133">
        <f>IF(ISNA(INDEX('Tarieven ZM'!$G:$G,MATCH($G15&amp;BT$3,'Tarieven ZM'!$B:$B,0))),0,INDEX('Tarieven ZM'!$G:$G,MATCH($G15&amp;BT$3,'Tarieven ZM'!$B:$B,0)))</f>
        <v>0</v>
      </c>
      <c r="BU15" s="133">
        <f>IF(ISNA(INDEX('Tarieven ZM'!$G:$G,MATCH($G15&amp;BU$3,'Tarieven ZM'!$B:$B,0))),0,INDEX('Tarieven ZM'!$G:$G,MATCH($G15&amp;BU$3,'Tarieven ZM'!$B:$B,0)))</f>
        <v>0</v>
      </c>
      <c r="BV15" s="133">
        <f>IF(ISNA(INDEX('Tarieven ZM'!$G:$G,MATCH($G15&amp;BV$3,'Tarieven ZM'!$B:$B,0))),0,INDEX('Tarieven ZM'!$G:$G,MATCH($G15&amp;BV$3,'Tarieven ZM'!$B:$B,0)))</f>
        <v>0</v>
      </c>
      <c r="BW15" s="133">
        <f>IF(ISNA(INDEX('Tarieven ZM'!$G:$G,MATCH($G15&amp;BW$3,'Tarieven ZM'!$B:$B,0))),0,INDEX('Tarieven ZM'!$G:$G,MATCH($G15&amp;BW$3,'Tarieven ZM'!$B:$B,0)))</f>
        <v>100</v>
      </c>
      <c r="BX15" s="133">
        <f>IF(ISNA(INDEX('Tarieven ZM'!$G:$G,MATCH($G15&amp;BX$3,'Tarieven ZM'!$B:$B,0))),0,INDEX('Tarieven ZM'!$G:$G,MATCH($G15&amp;BX$3,'Tarieven ZM'!$B:$B,0)))</f>
        <v>0</v>
      </c>
      <c r="BY15" s="133">
        <f>IF(ISNA(INDEX('Tarieven ZM'!$G:$G,MATCH($G15&amp;BY$3,'Tarieven ZM'!$B:$B,0))),0,INDEX('Tarieven ZM'!$G:$G,MATCH($G15&amp;BY$3,'Tarieven ZM'!$B:$B,0)))</f>
        <v>0</v>
      </c>
      <c r="BZ15" s="133">
        <f>IF(ISNA(INDEX('Tarieven ZM'!$G:$G,MATCH($G15&amp;BZ$3,'Tarieven ZM'!$B:$B,0))),0,INDEX('Tarieven ZM'!$G:$G,MATCH($G15&amp;BZ$3,'Tarieven ZM'!$B:$B,0)))</f>
        <v>100</v>
      </c>
      <c r="CA15" s="133">
        <f>IF(ISNA(INDEX('Tarieven ZM'!$G:$G,MATCH($G15&amp;CA$3,'Tarieven ZM'!$B:$B,0))),0,INDEX('Tarieven ZM'!$G:$G,MATCH($G15&amp;CA$3,'Tarieven ZM'!$B:$B,0)))</f>
        <v>100</v>
      </c>
      <c r="CB15" s="133">
        <f>IF(ISNA(INDEX('Tarieven ZM'!$G:$G,MATCH($G15&amp;CB$3,'Tarieven ZM'!$B:$B,0))),0,INDEX('Tarieven ZM'!$G:$G,MATCH($G15&amp;CB$3,'Tarieven ZM'!$B:$B,0)))</f>
        <v>100</v>
      </c>
      <c r="CC15" s="133">
        <f>IF(ISNA(INDEX('Tarieven ZM'!$G:$G,MATCH($G15&amp;CC$3,'Tarieven ZM'!$B:$B,0))),0,INDEX('Tarieven ZM'!$G:$G,MATCH($G15&amp;CC$3,'Tarieven ZM'!$B:$B,0)))</f>
        <v>100</v>
      </c>
      <c r="CD15" s="133">
        <f>IF(ISNA(INDEX('Tarieven ZM'!$G:$G,MATCH($G15&amp;CD$3,'Tarieven ZM'!$B:$B,0))),0,INDEX('Tarieven ZM'!$G:$G,MATCH($G15&amp;CD$3,'Tarieven ZM'!$B:$B,0)))</f>
        <v>100</v>
      </c>
      <c r="CE15" s="133">
        <f>IF(ISNA(INDEX('Tarieven ZM'!$G:$G,MATCH($G15&amp;CE$3,'Tarieven ZM'!$B:$B,0))),0,INDEX('Tarieven ZM'!$G:$G,MATCH($G15&amp;CE$3,'Tarieven ZM'!$B:$B,0)))</f>
        <v>0</v>
      </c>
      <c r="CF15" s="133">
        <f>IF(ISNA(INDEX('Tarieven ZM'!$G:$G,MATCH($G15&amp;CF$3,'Tarieven ZM'!$B:$B,0))),0,INDEX('Tarieven ZM'!$G:$G,MATCH($G15&amp;CF$3,'Tarieven ZM'!$B:$B,0)))</f>
        <v>100</v>
      </c>
      <c r="CG15" s="133">
        <f>IF(ISNA(INDEX('Tarieven ZM'!$G:$G,MATCH($G15&amp;CG$3,'Tarieven ZM'!$B:$B,0))),0,INDEX('Tarieven ZM'!$G:$G,MATCH($G15&amp;CG$3,'Tarieven ZM'!$B:$B,0)))</f>
        <v>100</v>
      </c>
      <c r="CH15" s="133">
        <f>IF(ISNA(INDEX('Tarieven ZM'!$G:$G,MATCH($G15&amp;CH$3,'Tarieven ZM'!$B:$B,0))),0,INDEX('Tarieven ZM'!$G:$G,MATCH($G15&amp;CH$3,'Tarieven ZM'!$B:$B,0)))</f>
        <v>0</v>
      </c>
      <c r="CI15" s="133">
        <f>IF(ISNA(INDEX('Tarieven ZM'!$G:$G,MATCH($G15&amp;CI$3,'Tarieven ZM'!$B:$B,0))),0,INDEX('Tarieven ZM'!$G:$G,MATCH($G15&amp;CI$3,'Tarieven ZM'!$B:$B,0)))</f>
        <v>0</v>
      </c>
      <c r="CJ15" s="133">
        <f>IF(ISNA(INDEX('Tarieven ZM'!$G:$G,MATCH($G15&amp;CJ$3,'Tarieven ZM'!$B:$B,0))),0,INDEX('Tarieven ZM'!$G:$G,MATCH($G15&amp;CJ$3,'Tarieven ZM'!$B:$B,0)))</f>
        <v>0</v>
      </c>
      <c r="CK15" s="120">
        <f>IF(ISNA(INDEX('Tarieven ZM'!$G:$G,MATCH($G15&amp;CK$3,'Tarieven ZM'!$B:$B,0))),0,INDEX('Tarieven ZM'!$G:$G,MATCH($G15&amp;CK$3,'Tarieven ZM'!$B:$B,0)))</f>
        <v>0</v>
      </c>
      <c r="CL15" s="129">
        <f>IF(ISNA(INDEX('Tarieven ZM'!$H:$H,MATCH($G15&amp;CL$3,'Tarieven ZM'!$B:$B,0))),0,INDEX('Tarieven ZM'!$H:$H,MATCH($G15&amp;CL$3,'Tarieven ZM'!$B:$B,0)))</f>
        <v>1000</v>
      </c>
      <c r="CM15" s="133">
        <f>IF(ISNA(INDEX('Tarieven ZM'!$H:$H,MATCH($G15&amp;CM$3,'Tarieven ZM'!$B:$B,0))),0,INDEX('Tarieven ZM'!$H:$H,MATCH($G15&amp;CM$3,'Tarieven ZM'!$B:$B,0)))</f>
        <v>1000</v>
      </c>
      <c r="CN15" s="133">
        <f>IF(ISNA(INDEX('Tarieven ZM'!$H:$H,MATCH($G15&amp;CN$3,'Tarieven ZM'!$B:$B,0))),0,INDEX('Tarieven ZM'!$H:$H,MATCH($G15&amp;CN$3,'Tarieven ZM'!$B:$B,0)))</f>
        <v>1000</v>
      </c>
      <c r="CO15" s="133">
        <f>IF(ISNA(INDEX('Tarieven ZM'!$H:$H,MATCH($G15&amp;CO$3,'Tarieven ZM'!$B:$B,0))),0,INDEX('Tarieven ZM'!$H:$H,MATCH($G15&amp;CO$3,'Tarieven ZM'!$B:$B,0)))</f>
        <v>1000</v>
      </c>
      <c r="CP15" s="133">
        <f>IF(ISNA(INDEX('Tarieven ZM'!$H:$H,MATCH($G15&amp;CP$3,'Tarieven ZM'!$B:$B,0))),0,INDEX('Tarieven ZM'!$H:$H,MATCH($G15&amp;CP$3,'Tarieven ZM'!$B:$B,0)))</f>
        <v>1000</v>
      </c>
      <c r="CQ15" s="133">
        <f>IF(ISNA(INDEX('Tarieven ZM'!$H:$H,MATCH($G15&amp;CQ$3,'Tarieven ZM'!$B:$B,0))),0,INDEX('Tarieven ZM'!$H:$H,MATCH($G15&amp;CQ$3,'Tarieven ZM'!$B:$B,0)))</f>
        <v>1000</v>
      </c>
      <c r="CR15" s="133">
        <f>IF(ISNA(INDEX('Tarieven ZM'!$H:$H,MATCH($G15&amp;CR$3,'Tarieven ZM'!$B:$B,0))),0,INDEX('Tarieven ZM'!$H:$H,MATCH($G15&amp;CR$3,'Tarieven ZM'!$B:$B,0)))</f>
        <v>1000</v>
      </c>
      <c r="CS15" s="133">
        <f>IF(ISNA(INDEX('Tarieven ZM'!$H:$H,MATCH($G15&amp;CS$3,'Tarieven ZM'!$B:$B,0))),0,INDEX('Tarieven ZM'!$H:$H,MATCH($G15&amp;CS$3,'Tarieven ZM'!$B:$B,0)))</f>
        <v>1000</v>
      </c>
      <c r="CT15" s="133">
        <f>IF(ISNA(INDEX('Tarieven ZM'!$H:$H,MATCH($G15&amp;CT$3,'Tarieven ZM'!$B:$B,0))),0,INDEX('Tarieven ZM'!$H:$H,MATCH($G15&amp;CT$3,'Tarieven ZM'!$B:$B,0)))</f>
        <v>1000</v>
      </c>
      <c r="CU15" s="133">
        <f>IF(ISNA(INDEX('Tarieven ZM'!$H:$H,MATCH($G15&amp;CU$3,'Tarieven ZM'!$B:$B,0))),0,INDEX('Tarieven ZM'!$H:$H,MATCH($G15&amp;CU$3,'Tarieven ZM'!$B:$B,0)))</f>
        <v>1000</v>
      </c>
      <c r="CV15" s="133">
        <f>IF(ISNA(INDEX('Tarieven ZM'!$H:$H,MATCH($G15&amp;CV$3,'Tarieven ZM'!$B:$B,0))),0,INDEX('Tarieven ZM'!$H:$H,MATCH($G15&amp;CV$3,'Tarieven ZM'!$B:$B,0)))</f>
        <v>1000</v>
      </c>
      <c r="CW15" s="133">
        <f>IF(ISNA(INDEX('Tarieven ZM'!$H:$H,MATCH($G15&amp;CW$3,'Tarieven ZM'!$B:$B,0))),0,INDEX('Tarieven ZM'!$H:$H,MATCH($G15&amp;CW$3,'Tarieven ZM'!$B:$B,0)))</f>
        <v>1000</v>
      </c>
      <c r="CX15" s="133">
        <f>IF(ISNA(INDEX('Tarieven ZM'!$H:$H,MATCH($G15&amp;CX$3,'Tarieven ZM'!$B:$B,0))),0,INDEX('Tarieven ZM'!$H:$H,MATCH($G15&amp;CX$3,'Tarieven ZM'!$B:$B,0)))</f>
        <v>1000</v>
      </c>
      <c r="CY15" s="133">
        <f>IF(ISNA(INDEX('Tarieven ZM'!$H:$H,MATCH($G15&amp;CY$3,'Tarieven ZM'!$B:$B,0))),0,INDEX('Tarieven ZM'!$H:$H,MATCH($G15&amp;CY$3,'Tarieven ZM'!$B:$B,0)))</f>
        <v>1000</v>
      </c>
      <c r="CZ15" s="133">
        <f>IF(ISNA(INDEX('Tarieven ZM'!$H:$H,MATCH($G15&amp;CZ$3,'Tarieven ZM'!$B:$B,0))),0,INDEX('Tarieven ZM'!$H:$H,MATCH($G15&amp;CZ$3,'Tarieven ZM'!$B:$B,0)))</f>
        <v>1000</v>
      </c>
      <c r="DA15" s="133">
        <f>IF(ISNA(INDEX('Tarieven ZM'!$H:$H,MATCH($G15&amp;DA$3,'Tarieven ZM'!$B:$B,0))),0,INDEX('Tarieven ZM'!$H:$H,MATCH($G15&amp;DA$3,'Tarieven ZM'!$B:$B,0)))</f>
        <v>1000</v>
      </c>
      <c r="DB15" s="133">
        <f>IF(ISNA(INDEX('Tarieven ZM'!$H:$H,MATCH($G15&amp;DB$3,'Tarieven ZM'!$B:$B,0))),0,INDEX('Tarieven ZM'!$H:$H,MATCH($G15&amp;DB$3,'Tarieven ZM'!$B:$B,0)))</f>
        <v>1000</v>
      </c>
      <c r="DC15" s="133">
        <f>IF(ISNA(INDEX('Tarieven ZM'!$H:$H,MATCH($G15&amp;DC$3,'Tarieven ZM'!$B:$B,0))),0,INDEX('Tarieven ZM'!$H:$H,MATCH($G15&amp;DC$3,'Tarieven ZM'!$B:$B,0)))</f>
        <v>1000</v>
      </c>
      <c r="DD15" s="133">
        <f>IF(ISNA(INDEX('Tarieven ZM'!$H:$H,MATCH($G15&amp;DD$3,'Tarieven ZM'!$B:$B,0))),0,INDEX('Tarieven ZM'!$H:$H,MATCH($G15&amp;DD$3,'Tarieven ZM'!$B:$B,0)))</f>
        <v>1000</v>
      </c>
      <c r="DE15" s="133">
        <f>IF(ISNA(INDEX('Tarieven ZM'!$H:$H,MATCH($G15&amp;DE$3,'Tarieven ZM'!$B:$B,0))),0,INDEX('Tarieven ZM'!$H:$H,MATCH($G15&amp;DE$3,'Tarieven ZM'!$B:$B,0)))</f>
        <v>1000</v>
      </c>
      <c r="DF15" s="133">
        <f>IF(ISNA(INDEX('Tarieven ZM'!$H:$H,MATCH($G15&amp;DF$3,'Tarieven ZM'!$B:$B,0))),0,INDEX('Tarieven ZM'!$H:$H,MATCH($G15&amp;DF$3,'Tarieven ZM'!$B:$B,0)))</f>
        <v>1000</v>
      </c>
      <c r="DG15" s="133">
        <f>IF(ISNA(INDEX('Tarieven ZM'!$H:$H,MATCH($G15&amp;DG$3,'Tarieven ZM'!$B:$B,0))),0,INDEX('Tarieven ZM'!$H:$H,MATCH($G15&amp;DG$3,'Tarieven ZM'!$B:$B,0)))</f>
        <v>1000</v>
      </c>
      <c r="DH15" s="133">
        <f>IF(ISNA(INDEX('Tarieven ZM'!$H:$H,MATCH($G15&amp;DH$3,'Tarieven ZM'!$B:$B,0))),0,INDEX('Tarieven ZM'!$H:$H,MATCH($G15&amp;DH$3,'Tarieven ZM'!$B:$B,0)))</f>
        <v>1000</v>
      </c>
      <c r="DI15" s="133">
        <f>IF(ISNA(INDEX('Tarieven ZM'!$H:$H,MATCH($G15&amp;DI$3,'Tarieven ZM'!$B:$B,0))),0,INDEX('Tarieven ZM'!$H:$H,MATCH($G15&amp;DI$3,'Tarieven ZM'!$B:$B,0)))</f>
        <v>1000</v>
      </c>
      <c r="DJ15" s="120">
        <f>IF(ISNA(INDEX('Tarieven ZM'!$H:$H,MATCH($G15&amp;DJ$3,'Tarieven ZM'!$B:$B,0))),0,INDEX('Tarieven ZM'!$H:$H,MATCH($G15&amp;DJ$3,'Tarieven ZM'!$B:$B,0)))</f>
        <v>1000</v>
      </c>
      <c r="DK15" s="212">
        <f t="shared" si="6"/>
        <v>1401</v>
      </c>
      <c r="DL15" s="142">
        <f>SUMPRODUCT($X15:$AV15,CL15:DJ15)/Parameters!$B$9</f>
        <v>694.44444444444446</v>
      </c>
      <c r="DM15" s="157">
        <f t="shared" si="7"/>
        <v>2095.4444444444443</v>
      </c>
      <c r="DN15" s="129">
        <f>INDEX(WLR!$J:$J,MATCH(DN$4,WLR!$A:$A,0))</f>
        <v>10.39</v>
      </c>
      <c r="DO15" s="133">
        <f>INDEX(WLR!$J:$J,MATCH(DO$4,WLR!$A:$A,0))</f>
        <v>10.39</v>
      </c>
      <c r="DP15" s="133">
        <f>INDEX(WLR!$J:$J,MATCH(DP$4,WLR!$A:$A,0))</f>
        <v>62.94</v>
      </c>
      <c r="DQ15" s="133">
        <f>INDEX(WLR!$J:$J,MATCH(DQ$4,WLR!$A:$A,0))</f>
        <v>62.94</v>
      </c>
      <c r="DR15" s="133">
        <f>INDEX(WLR!$J:$J,MATCH(DR$4,WLR!$A:$A,0))</f>
        <v>494.44</v>
      </c>
      <c r="DS15" s="133">
        <f>INDEX(WLR!$J:$J,MATCH(DS$4,WLR!$A:$A,0))</f>
        <v>494.44</v>
      </c>
      <c r="DT15" s="133">
        <f>INDEX(WLR!$J:$J,MATCH(DT$4,WLR!$A:$A,0))</f>
        <v>3510.28</v>
      </c>
      <c r="DU15" s="133">
        <f>INDEX(WLR!$J:$J,MATCH(DU$4,WLR!$A:$A,0))</f>
        <v>1.19</v>
      </c>
      <c r="DV15" s="133">
        <f>INDEX(WLR!$J:$J,MATCH(DV$4,WLR!$A:$A,0))</f>
        <v>29.43</v>
      </c>
      <c r="DW15" s="133">
        <f>INDEX(WLR!$J:$J,MATCH(DW$4,WLR!$A:$A,0))</f>
        <v>192.45</v>
      </c>
      <c r="DX15" s="133">
        <f>INDEX(WLR!$J:$J,MATCH(DX$4,WLR!$A:$A,0))</f>
        <v>9.8000000000000007</v>
      </c>
      <c r="DY15" s="133">
        <f>INDEX(WLR!$J:$J,MATCH(DY$4,WLR!$A:$A,0))</f>
        <v>34.950000000000003</v>
      </c>
      <c r="DZ15" s="133">
        <f>INDEX(WLR!$J:$J,MATCH(DZ$4,WLR!$A:$A,0))</f>
        <v>34.950000000000003</v>
      </c>
      <c r="EA15" s="133">
        <f>INDEX(WLR!$J:$J,MATCH(EA$4,WLR!$A:$A,0))</f>
        <v>2.08</v>
      </c>
      <c r="EB15" s="133">
        <f>INDEX(WLR!$J:$J,MATCH(EB$4,WLR!$A:$A,0))</f>
        <v>1.97</v>
      </c>
      <c r="EC15" s="133">
        <f>INDEX(WLR!$J:$J,MATCH(EC$4,WLR!$A:$A,0))</f>
        <v>1.97</v>
      </c>
      <c r="ED15" s="133">
        <f>INDEX(WLR!$J:$J,MATCH(ED$4,WLR!$A:$A,0))</f>
        <v>0</v>
      </c>
      <c r="EE15" s="133">
        <f>INDEX(WLR!$J:$J,MATCH(EE$4,WLR!$A:$A,0))</f>
        <v>0</v>
      </c>
      <c r="EF15" s="133">
        <f>INDEX(WLR!$J:$J,MATCH(EF$4,WLR!$A:$A,0))</f>
        <v>0.96</v>
      </c>
      <c r="EG15" s="133">
        <f>INDEX(WLR!$J:$J,MATCH(EG$4,WLR!$A:$A,0))</f>
        <v>4.53</v>
      </c>
      <c r="EH15" s="133">
        <f>INDEX(WLR!$J:$J,MATCH(EH$4,WLR!$A:$A,0))</f>
        <v>4.53</v>
      </c>
      <c r="EI15" s="133">
        <f>INDEX(WLR!$J:$J,MATCH(EI$4,WLR!$A:$A,0))</f>
        <v>7.58</v>
      </c>
      <c r="EJ15" s="133">
        <f>INDEX(WLR!$J:$J,MATCH(EJ$4,WLR!$A:$A,0))</f>
        <v>31.11</v>
      </c>
      <c r="EK15" s="133">
        <f>INDEX(WLR!$J:$J,MATCH(EK$4,WLR!$A:$A,0))</f>
        <v>31.11</v>
      </c>
      <c r="EL15" s="120">
        <f>INDEX(WLR!$J:$J,MATCH(EL$4,WLR!$A:$A,0))</f>
        <v>0.96</v>
      </c>
      <c r="EM15" s="129">
        <f>INDEX(WLR!$I:$I,MATCH(EM$4,WLR!$A:$A,0))</f>
        <v>0</v>
      </c>
      <c r="EN15" s="133">
        <f>INDEX(WLR!$I:$I,MATCH(EN$4,WLR!$A:$A,0))</f>
        <v>16.21</v>
      </c>
      <c r="EO15" s="133">
        <f>INDEX(WLR!$I:$I,MATCH(EO$4,WLR!$A:$A,0))</f>
        <v>0</v>
      </c>
      <c r="EP15" s="133">
        <f>INDEX(WLR!$I:$I,MATCH(EP$4,WLR!$A:$A,0))</f>
        <v>16.21</v>
      </c>
      <c r="EQ15" s="133">
        <f>INDEX(WLR!$I:$I,MATCH(EQ$4,WLR!$A:$A,0))</f>
        <v>0</v>
      </c>
      <c r="ER15" s="133">
        <f>INDEX(WLR!$I:$I,MATCH(ER$4,WLR!$A:$A,0))</f>
        <v>16.21</v>
      </c>
      <c r="ES15" s="133">
        <f>INDEX(WLR!$I:$I,MATCH(ES$4,WLR!$A:$A,0))</f>
        <v>0</v>
      </c>
      <c r="ET15" s="133">
        <f>INDEX(WLR!$I:$I,MATCH(ET$4,WLR!$A:$A,0))</f>
        <v>82.82</v>
      </c>
      <c r="EU15" s="133">
        <f>INDEX(WLR!$I:$I,MATCH(EU$4,WLR!$A:$A,0))</f>
        <v>748.42</v>
      </c>
      <c r="EV15" s="133">
        <f>INDEX(WLR!$I:$I,MATCH(EV$4,WLR!$A:$A,0))</f>
        <v>1282.99</v>
      </c>
      <c r="EW15" s="133">
        <f>INDEX(WLR!$I:$I,MATCH(EW$4,WLR!$A:$A,0))</f>
        <v>16.21</v>
      </c>
      <c r="EX15" s="133">
        <f>INDEX(WLR!$I:$I,MATCH(EX$4,WLR!$A:$A,0))</f>
        <v>79.94</v>
      </c>
      <c r="EY15" s="133">
        <f>INDEX(WLR!$I:$I,MATCH(EY$4,WLR!$A:$A,0))</f>
        <v>839.48</v>
      </c>
      <c r="EZ15" s="133">
        <f>INDEX(WLR!$I:$I,MATCH(EZ$4,WLR!$A:$A,0))</f>
        <v>32.950000000000003</v>
      </c>
      <c r="FA15" s="133">
        <f>INDEX(WLR!$I:$I,MATCH(FA$4,WLR!$A:$A,0))</f>
        <v>16.21</v>
      </c>
      <c r="FB15" s="133">
        <f>INDEX(WLR!$I:$I,MATCH(FB$4,WLR!$A:$A,0))</f>
        <v>16.21</v>
      </c>
      <c r="FC15" s="133">
        <f>INDEX(WLR!$I:$I,MATCH(FC$4,WLR!$A:$A,0))</f>
        <v>0</v>
      </c>
      <c r="FD15" s="133">
        <f>INDEX(WLR!$I:$I,MATCH(FD$4,WLR!$A:$A,0))</f>
        <v>15.73</v>
      </c>
      <c r="FE15" s="133">
        <f>INDEX(WLR!$I:$I,MATCH(FE$4,WLR!$A:$A,0))</f>
        <v>0</v>
      </c>
      <c r="FF15" s="133">
        <f>INDEX(WLR!$I:$I,MATCH(FF$4,WLR!$A:$A,0))</f>
        <v>0</v>
      </c>
      <c r="FG15" s="133">
        <f>INDEX(WLR!$I:$I,MATCH(FG$4,WLR!$A:$A,0))</f>
        <v>0</v>
      </c>
      <c r="FH15" s="133">
        <f>INDEX(WLR!$I:$I,MATCH(FH$4,WLR!$A:$A,0))</f>
        <v>15.73</v>
      </c>
      <c r="FI15" s="133">
        <f>INDEX(WLR!$I:$I,MATCH(FI$4,WLR!$A:$A,0))</f>
        <v>40.06</v>
      </c>
      <c r="FJ15" s="133">
        <f>INDEX(WLR!$I:$I,MATCH(FJ$4,WLR!$A:$A,0))</f>
        <v>40.06</v>
      </c>
      <c r="FK15" s="120">
        <f>INDEX(WLR!$I:$I,MATCH(FK$4,WLR!$A:$A,0))</f>
        <v>0</v>
      </c>
      <c r="FL15" s="168">
        <f>SUMPRODUCT(X15:AV15,DN15:EL15)+V15*(1-Parameters!$B$52)</f>
        <v>5036.1899999999987</v>
      </c>
      <c r="FM15" s="213">
        <f>SUMPRODUCT(X15:AV15,EM15:FK15)/Parameters!$B$9</f>
        <v>90.984444444444435</v>
      </c>
      <c r="FN15" s="136">
        <f t="shared" si="8"/>
        <v>5127.174444444443</v>
      </c>
      <c r="FO15" s="148">
        <f>DM15*Parameters!$B$3</f>
        <v>209.54444444444445</v>
      </c>
      <c r="FP15" s="142">
        <f>IF(LEFT(G15,3)="KPN",(('Vergoedingen grondslag'!$F$11+'Vergoedingen grondslag'!$I$11+'Vergoedingen grondslag'!$L$11+'Vergoedingen grondslag'!$O$11)*DK15)+('Vergoedingen grondslag'!$O$11*DL15+'Vergoedingen grondslag'!$R$11*0+'Vergoedingen grondslag'!$U$11+'Vergoedingen grondslag'!$X$11)/36,(('Vergoedingen grondslag'!$F$20+'Vergoedingen grondslag'!$I$20+'Vergoedingen grondslag'!$L$20+'Vergoedingen grondslag'!$O$20)*DK15)+('Vergoedingen grondslag'!$O$20*DL15+'Vergoedingen grondslag'!$R$20*0+'Vergoedingen grondslag'!$U$20*0)/36)</f>
        <v>56.232901234567898</v>
      </c>
      <c r="FQ15" s="133"/>
      <c r="FR15" s="157">
        <f t="shared" si="9"/>
        <v>265.77734567901234</v>
      </c>
      <c r="FS15" s="166">
        <f t="shared" si="10"/>
        <v>5392.9517901234558</v>
      </c>
      <c r="FT15" s="168">
        <f t="shared" si="1"/>
        <v>3082.1894279320986</v>
      </c>
      <c r="FU15" s="145">
        <f t="shared" si="2"/>
        <v>0.45862880846817156</v>
      </c>
      <c r="FV15" s="120" t="b">
        <f t="shared" si="11"/>
        <v>0</v>
      </c>
      <c r="FW15" s="331" t="s">
        <v>868</v>
      </c>
    </row>
    <row r="16" spans="2:179" ht="14.4">
      <c r="B16" s="129"/>
      <c r="C16" s="120"/>
      <c r="D16" s="129" t="s">
        <v>645</v>
      </c>
      <c r="E16" s="133" t="s">
        <v>648</v>
      </c>
      <c r="F16" s="133" t="s">
        <v>469</v>
      </c>
      <c r="G16" s="133" t="s">
        <v>12</v>
      </c>
      <c r="H16" s="133" t="s">
        <v>458</v>
      </c>
      <c r="I16" s="133" t="str">
        <f t="shared" si="3"/>
        <v>TZ BelBasisISDN30VVE nieuwe aanleg</v>
      </c>
      <c r="J16" s="120" t="str">
        <f t="shared" si="4"/>
        <v>n4*ISDN30TZ</v>
      </c>
      <c r="K16" s="205">
        <f>INDEX(Facilitietenprofielen!D:D,MATCH($J16,Facilitietenprofielen!$A:$A,0))</f>
        <v>5</v>
      </c>
      <c r="L16" s="206">
        <f>INDEX(Facilitietenprofielen!E:E,MATCH($J16,Facilitietenprofielen!$A:$A,0))</f>
        <v>5</v>
      </c>
      <c r="M16" s="206">
        <f>INDEX(Facilitietenprofielen!F:F,MATCH($J16,Facilitietenprofielen!$A:$A,0))</f>
        <v>5</v>
      </c>
      <c r="N16" s="206">
        <f>INDEX(Facilitietenprofielen!G:G,MATCH($J16,Facilitietenprofielen!$A:$A,0))</f>
        <v>5</v>
      </c>
      <c r="O16" s="206">
        <f>INDEX(Facilitietenprofielen!H:H,MATCH($J16,Facilitietenprofielen!$A:$A,0))</f>
        <v>5</v>
      </c>
      <c r="P16" s="206">
        <f>INDEX(Facilitietenprofielen!I:I,MATCH($J16,Facilitietenprofielen!$A:$A,0))</f>
        <v>5</v>
      </c>
      <c r="Q16" s="206">
        <f>INDEX(Facilitietenprofielen!J:J,MATCH($J16,Facilitietenprofielen!$A:$A,0))</f>
        <v>5</v>
      </c>
      <c r="R16" s="206">
        <f>INDEX(Facilitietenprofielen!K:K,MATCH($J16,Facilitietenprofielen!$A:$A,0))</f>
        <v>5</v>
      </c>
      <c r="S16" s="206">
        <f>INDEX(Facilitietenprofielen!L:L,MATCH($J16,Facilitietenprofielen!$A:$A,0))</f>
        <v>5</v>
      </c>
      <c r="T16" s="206">
        <f>INDEX(Facilitietenprofielen!M:M,MATCH($J16,Facilitietenprofielen!$A:$A,0))</f>
        <v>510</v>
      </c>
      <c r="U16" s="206">
        <f>INDEX(Facilitietenprofielen!N:N,MATCH($J16,Facilitietenprofielen!$A:$A,0))</f>
        <v>102</v>
      </c>
      <c r="V16" s="206">
        <f>INDEX(Facilitietenprofielen!V:V,MATCH($J16,Facilitietenprofielen!$A:$A,0))</f>
        <v>1</v>
      </c>
      <c r="W16" s="206">
        <f>INDEX(Facilitietenprofielen!W:W,MATCH($J16,Facilitietenprofielen!$A:$A,0))</f>
        <v>1</v>
      </c>
      <c r="X16" s="206">
        <f>INDEX(Facilitietenprofielen!O:O,MATCH($J16,Facilitietenprofielen!$A:$A,0))</f>
        <v>1</v>
      </c>
      <c r="Y16" s="206">
        <f>INDEX(Facilitietenprofielen!P:P,MATCH($J16,Facilitietenprofielen!$A:$A,0))</f>
        <v>1</v>
      </c>
      <c r="Z16" s="206">
        <f>INDEX(Facilitietenprofielen!Q:Q,MATCH($J16,Facilitietenprofielen!$A:$A,0))</f>
        <v>1</v>
      </c>
      <c r="AA16" s="206">
        <f>INDEX(Facilitietenprofielen!R:R,MATCH($J16,Facilitietenprofielen!$A:$A,0))</f>
        <v>1</v>
      </c>
      <c r="AB16" s="206">
        <f>INDEX(Facilitietenprofielen!S:S,MATCH($J16,Facilitietenprofielen!$A:$A,0))</f>
        <v>1</v>
      </c>
      <c r="AC16" s="206">
        <f>INDEX(Facilitietenprofielen!T:T,MATCH($J16,Facilitietenprofielen!$A:$A,0))</f>
        <v>1</v>
      </c>
      <c r="AD16" s="206">
        <f>INDEX(Facilitietenprofielen!U:U,MATCH($J16,Facilitietenprofielen!$A:$A,0))</f>
        <v>1</v>
      </c>
      <c r="AE16" s="206">
        <f>INDEX(Facilitietenprofielen!Y:Y,MATCH($J16,Facilitietenprofielen!$A:$A,0))</f>
        <v>1</v>
      </c>
      <c r="AF16" s="206">
        <f>INDEX(Facilitietenprofielen!Z:Z,MATCH($J16,Facilitietenprofielen!$A:$A,0))</f>
        <v>1</v>
      </c>
      <c r="AG16" s="206">
        <f>INDEX(Facilitietenprofielen!AA:AA,MATCH($J16,Facilitietenprofielen!$A:$A,0))</f>
        <v>1</v>
      </c>
      <c r="AH16" s="206">
        <f>INDEX(Facilitietenprofielen!AB:AB,MATCH($J16,Facilitietenprofielen!$A:$A,0))</f>
        <v>1</v>
      </c>
      <c r="AI16" s="206">
        <f>INDEX(Facilitietenprofielen!AC:AC,MATCH($J16,Facilitietenprofielen!$A:$A,0))</f>
        <v>1</v>
      </c>
      <c r="AJ16" s="206">
        <f>INDEX(Facilitietenprofielen!AD:AD,MATCH($J16,Facilitietenprofielen!$A:$A,0))</f>
        <v>1</v>
      </c>
      <c r="AK16" s="206">
        <f>INDEX(Facilitietenprofielen!AE:AE,MATCH($J16,Facilitietenprofielen!$A:$A,0))</f>
        <v>1</v>
      </c>
      <c r="AL16" s="206">
        <f>INDEX(Facilitietenprofielen!AF:AF,MATCH($J16,Facilitietenprofielen!$A:$A,0))</f>
        <v>1</v>
      </c>
      <c r="AM16" s="206">
        <f>INDEX(Facilitietenprofielen!AG:AG,MATCH($J16,Facilitietenprofielen!$A:$A,0))</f>
        <v>1</v>
      </c>
      <c r="AN16" s="206">
        <f>INDEX(Facilitietenprofielen!AH:AH,MATCH($J16,Facilitietenprofielen!$A:$A,0))</f>
        <v>1</v>
      </c>
      <c r="AO16" s="206">
        <f>INDEX(Facilitietenprofielen!AI:AI,MATCH($J16,Facilitietenprofielen!$A:$A,0))</f>
        <v>1</v>
      </c>
      <c r="AP16" s="206">
        <f>INDEX(Facilitietenprofielen!AJ:AJ,MATCH($J16,Facilitietenprofielen!$A:$A,0))</f>
        <v>1</v>
      </c>
      <c r="AQ16" s="206">
        <f>INDEX(Facilitietenprofielen!AK:AK,MATCH($J16,Facilitietenprofielen!$A:$A,0))</f>
        <v>1</v>
      </c>
      <c r="AR16" s="206">
        <f>INDEX(Facilitietenprofielen!AL:AL,MATCH($J16,Facilitietenprofielen!$A:$A,0))</f>
        <v>1</v>
      </c>
      <c r="AS16" s="206">
        <f>INDEX(Facilitietenprofielen!AM:AM,MATCH($J16,Facilitietenprofielen!$A:$A,0))</f>
        <v>1</v>
      </c>
      <c r="AT16" s="206">
        <f>INDEX(Facilitietenprofielen!AN:AN,MATCH($J16,Facilitietenprofielen!$A:$A,0))</f>
        <v>1</v>
      </c>
      <c r="AU16" s="206">
        <f>INDEX(Facilitietenprofielen!AO:AO,MATCH($J16,Facilitietenprofielen!$A:$A,0))</f>
        <v>1</v>
      </c>
      <c r="AV16" s="207">
        <f>INDEX(Facilitietenprofielen!AP:AP,MATCH($J16,Facilitietenprofielen!$A:$A,0))</f>
        <v>1</v>
      </c>
      <c r="AW16" s="206">
        <f>INDEX('Rekenblad Aansluiting'!$O:$O,MATCH($G16&amp;" "&amp;$E16&amp;BE$3&amp;$H16,'Rekenblad Aansluiting'!$A:$A,0))</f>
        <v>102.77777777777777</v>
      </c>
      <c r="AX16" s="206">
        <f>INDEX('Rekenblad Aansluiting'!$O:$O,MATCH($G16&amp;" "&amp;$E16&amp;BF$3&amp;$H16,'Rekenblad Aansluiting'!$A:$A,0))</f>
        <v>102.77777777777777</v>
      </c>
      <c r="AY16" s="206">
        <f>INDEX('Rekenblad Aansluiting'!$O:$O,MATCH($G16&amp;" "&amp;$E16&amp;BG$3&amp;$H16,'Rekenblad Aansluiting'!$A:$A,0))</f>
        <v>102.77777777777777</v>
      </c>
      <c r="AZ16" s="206">
        <f>INDEX('Rekenblad Aansluiting'!$O:$O,MATCH($G16&amp;" "&amp;$E16&amp;BH$3&amp;$H16,'Rekenblad Aansluiting'!$A:$A,0))</f>
        <v>102.77777777777777</v>
      </c>
      <c r="BA16" s="206">
        <f>INDEX('Rekenblad Aansluiting'!$O:$O,MATCH($G16&amp;" "&amp;$E16&amp;BI$3&amp;$H16,'Rekenblad Aansluiting'!$A:$A,0))</f>
        <v>102.77777777777777</v>
      </c>
      <c r="BB16" s="206">
        <f>INDEX('Rekenblad Aansluiting'!$O:$O,MATCH($G16&amp;" "&amp;$E16&amp;BJ$3&amp;$H16,'Rekenblad Aansluiting'!$A:$A,0))</f>
        <v>102.77777777777777</v>
      </c>
      <c r="BC16" s="206">
        <f>INDEX('Rekenblad Aansluiting'!$O:$O,MATCH($G16&amp;" "&amp;$E16&amp;BK$3&amp;$H16,'Rekenblad Aansluiting'!$A:$A,0))</f>
        <v>102.77777777777777</v>
      </c>
      <c r="BD16" s="206">
        <f t="shared" si="5"/>
        <v>4625</v>
      </c>
      <c r="BE16" s="212">
        <f>INDEX('Rekenblad Aansluiting'!$X:$X,MATCH($G16&amp;" "&amp;$E16&amp;BE$3&amp;$H16,'Rekenblad Aansluiting'!$A:$A,0))</f>
        <v>77.073244727777777</v>
      </c>
      <c r="BF16" s="213">
        <f>INDEX('Rekenblad Aansluiting'!$X:$X,MATCH($G16&amp;" "&amp;$E16&amp;BF$3&amp;$H16,'Rekenblad Aansluiting'!$A:$A,0))</f>
        <v>77.073244727777777</v>
      </c>
      <c r="BG16" s="213">
        <f>INDEX('Rekenblad Aansluiting'!$X:$X,MATCH($G16&amp;" "&amp;$E16&amp;BG$3&amp;$H16,'Rekenblad Aansluiting'!$A:$A,0))</f>
        <v>77.073244727777777</v>
      </c>
      <c r="BH16" s="213">
        <f>INDEX('Rekenblad Aansluiting'!$X:$X,MATCH($G16&amp;" "&amp;$E16&amp;BH$3&amp;$H16,'Rekenblad Aansluiting'!$A:$A,0))</f>
        <v>65.434321472222223</v>
      </c>
      <c r="BI16" s="213">
        <f>INDEX('Rekenblad Aansluiting'!$X:$X,MATCH($G16&amp;" "&amp;$E16&amp;BI$3&amp;$H16,'Rekenblad Aansluiting'!$A:$A,0))</f>
        <v>65.434321472222223</v>
      </c>
      <c r="BJ16" s="213">
        <f>INDEX('Rekenblad Aansluiting'!$X:$X,MATCH($G16&amp;" "&amp;$E16&amp;BJ$3&amp;$H16,'Rekenblad Aansluiting'!$A:$A,0))</f>
        <v>65.434321472222223</v>
      </c>
      <c r="BK16" s="213">
        <f>INDEX('Rekenblad Aansluiting'!$X:$X,MATCH($G16&amp;" "&amp;$E16&amp;BK$3&amp;$H16,'Rekenblad Aansluiting'!$A:$A,0))</f>
        <v>87.924166666666665</v>
      </c>
      <c r="BL16" s="223">
        <f t="shared" si="0"/>
        <v>3347.966773611111</v>
      </c>
      <c r="BM16" s="129">
        <f>IF(ISNA(INDEX('Tarieven ZM'!$G:$G,MATCH($G16&amp;BM$3,'Tarieven ZM'!$B:$B,0))),0,INDEX('Tarieven ZM'!$G:$G,MATCH($G16&amp;BM$3,'Tarieven ZM'!$B:$B,0)))</f>
        <v>100</v>
      </c>
      <c r="BN16" s="133">
        <f>IF(ISNA(INDEX('Tarieven ZM'!$G:$G,MATCH($G16&amp;BN$3,'Tarieven ZM'!$B:$B,0))),0,INDEX('Tarieven ZM'!$G:$G,MATCH($G16&amp;BN$3,'Tarieven ZM'!$B:$B,0)))</f>
        <v>100</v>
      </c>
      <c r="BO16" s="133">
        <f>IF(ISNA(INDEX('Tarieven ZM'!$G:$G,MATCH($G16&amp;BO$3,'Tarieven ZM'!$B:$B,0))),0,INDEX('Tarieven ZM'!$G:$G,MATCH($G16&amp;BO$3,'Tarieven ZM'!$B:$B,0)))</f>
        <v>100</v>
      </c>
      <c r="BP16" s="133">
        <f>IF(ISNA(INDEX('Tarieven ZM'!$G:$G,MATCH($G16&amp;BP$3,'Tarieven ZM'!$B:$B,0))),0,INDEX('Tarieven ZM'!$G:$G,MATCH($G16&amp;BP$3,'Tarieven ZM'!$B:$B,0)))</f>
        <v>100</v>
      </c>
      <c r="BQ16" s="133">
        <f>IF(ISNA(INDEX('Tarieven ZM'!$G:$G,MATCH($G16&amp;BQ$3,'Tarieven ZM'!$B:$B,0))),0,INDEX('Tarieven ZM'!$G:$G,MATCH($G16&amp;BQ$3,'Tarieven ZM'!$B:$B,0)))</f>
        <v>100</v>
      </c>
      <c r="BR16" s="133">
        <f>IF(ISNA(INDEX('Tarieven ZM'!$G:$G,MATCH($G16&amp;BR$3,'Tarieven ZM'!$B:$B,0))),0,INDEX('Tarieven ZM'!$G:$G,MATCH($G16&amp;BR$3,'Tarieven ZM'!$B:$B,0)))</f>
        <v>100</v>
      </c>
      <c r="BS16" s="133">
        <f>IF(ISNA(INDEX('Tarieven ZM'!$G:$G,MATCH($G16&amp;BS$3,'Tarieven ZM'!$B:$B,0))),0,INDEX('Tarieven ZM'!$G:$G,MATCH($G16&amp;BS$3,'Tarieven ZM'!$B:$B,0)))</f>
        <v>0</v>
      </c>
      <c r="BT16" s="133">
        <f>IF(ISNA(INDEX('Tarieven ZM'!$G:$G,MATCH($G16&amp;BT$3,'Tarieven ZM'!$B:$B,0))),0,INDEX('Tarieven ZM'!$G:$G,MATCH($G16&amp;BT$3,'Tarieven ZM'!$B:$B,0)))</f>
        <v>0</v>
      </c>
      <c r="BU16" s="133">
        <f>IF(ISNA(INDEX('Tarieven ZM'!$G:$G,MATCH($G16&amp;BU$3,'Tarieven ZM'!$B:$B,0))),0,INDEX('Tarieven ZM'!$G:$G,MATCH($G16&amp;BU$3,'Tarieven ZM'!$B:$B,0)))</f>
        <v>0</v>
      </c>
      <c r="BV16" s="133">
        <f>IF(ISNA(INDEX('Tarieven ZM'!$G:$G,MATCH($G16&amp;BV$3,'Tarieven ZM'!$B:$B,0))),0,INDEX('Tarieven ZM'!$G:$G,MATCH($G16&amp;BV$3,'Tarieven ZM'!$B:$B,0)))</f>
        <v>0</v>
      </c>
      <c r="BW16" s="133">
        <f>IF(ISNA(INDEX('Tarieven ZM'!$G:$G,MATCH($G16&amp;BW$3,'Tarieven ZM'!$B:$B,0))),0,INDEX('Tarieven ZM'!$G:$G,MATCH($G16&amp;BW$3,'Tarieven ZM'!$B:$B,0)))</f>
        <v>100</v>
      </c>
      <c r="BX16" s="133">
        <f>IF(ISNA(INDEX('Tarieven ZM'!$G:$G,MATCH($G16&amp;BX$3,'Tarieven ZM'!$B:$B,0))),0,INDEX('Tarieven ZM'!$G:$G,MATCH($G16&amp;BX$3,'Tarieven ZM'!$B:$B,0)))</f>
        <v>0</v>
      </c>
      <c r="BY16" s="133">
        <f>IF(ISNA(INDEX('Tarieven ZM'!$G:$G,MATCH($G16&amp;BY$3,'Tarieven ZM'!$B:$B,0))),0,INDEX('Tarieven ZM'!$G:$G,MATCH($G16&amp;BY$3,'Tarieven ZM'!$B:$B,0)))</f>
        <v>0</v>
      </c>
      <c r="BZ16" s="133">
        <f>IF(ISNA(INDEX('Tarieven ZM'!$G:$G,MATCH($G16&amp;BZ$3,'Tarieven ZM'!$B:$B,0))),0,INDEX('Tarieven ZM'!$G:$G,MATCH($G16&amp;BZ$3,'Tarieven ZM'!$B:$B,0)))</f>
        <v>100</v>
      </c>
      <c r="CA16" s="133">
        <f>IF(ISNA(INDEX('Tarieven ZM'!$G:$G,MATCH($G16&amp;CA$3,'Tarieven ZM'!$B:$B,0))),0,INDEX('Tarieven ZM'!$G:$G,MATCH($G16&amp;CA$3,'Tarieven ZM'!$B:$B,0)))</f>
        <v>100</v>
      </c>
      <c r="CB16" s="133">
        <f>IF(ISNA(INDEX('Tarieven ZM'!$G:$G,MATCH($G16&amp;CB$3,'Tarieven ZM'!$B:$B,0))),0,INDEX('Tarieven ZM'!$G:$G,MATCH($G16&amp;CB$3,'Tarieven ZM'!$B:$B,0)))</f>
        <v>100</v>
      </c>
      <c r="CC16" s="133">
        <f>IF(ISNA(INDEX('Tarieven ZM'!$G:$G,MATCH($G16&amp;CC$3,'Tarieven ZM'!$B:$B,0))),0,INDEX('Tarieven ZM'!$G:$G,MATCH($G16&amp;CC$3,'Tarieven ZM'!$B:$B,0)))</f>
        <v>100</v>
      </c>
      <c r="CD16" s="133">
        <f>IF(ISNA(INDEX('Tarieven ZM'!$G:$G,MATCH($G16&amp;CD$3,'Tarieven ZM'!$B:$B,0))),0,INDEX('Tarieven ZM'!$G:$G,MATCH($G16&amp;CD$3,'Tarieven ZM'!$B:$B,0)))</f>
        <v>100</v>
      </c>
      <c r="CE16" s="133">
        <f>IF(ISNA(INDEX('Tarieven ZM'!$G:$G,MATCH($G16&amp;CE$3,'Tarieven ZM'!$B:$B,0))),0,INDEX('Tarieven ZM'!$G:$G,MATCH($G16&amp;CE$3,'Tarieven ZM'!$B:$B,0)))</f>
        <v>0</v>
      </c>
      <c r="CF16" s="133">
        <f>IF(ISNA(INDEX('Tarieven ZM'!$G:$G,MATCH($G16&amp;CF$3,'Tarieven ZM'!$B:$B,0))),0,INDEX('Tarieven ZM'!$G:$G,MATCH($G16&amp;CF$3,'Tarieven ZM'!$B:$B,0)))</f>
        <v>100</v>
      </c>
      <c r="CG16" s="133">
        <f>IF(ISNA(INDEX('Tarieven ZM'!$G:$G,MATCH($G16&amp;CG$3,'Tarieven ZM'!$B:$B,0))),0,INDEX('Tarieven ZM'!$G:$G,MATCH($G16&amp;CG$3,'Tarieven ZM'!$B:$B,0)))</f>
        <v>100</v>
      </c>
      <c r="CH16" s="133">
        <f>IF(ISNA(INDEX('Tarieven ZM'!$G:$G,MATCH($G16&amp;CH$3,'Tarieven ZM'!$B:$B,0))),0,INDEX('Tarieven ZM'!$G:$G,MATCH($G16&amp;CH$3,'Tarieven ZM'!$B:$B,0)))</f>
        <v>0</v>
      </c>
      <c r="CI16" s="133">
        <f>IF(ISNA(INDEX('Tarieven ZM'!$G:$G,MATCH($G16&amp;CI$3,'Tarieven ZM'!$B:$B,0))),0,INDEX('Tarieven ZM'!$G:$G,MATCH($G16&amp;CI$3,'Tarieven ZM'!$B:$B,0)))</f>
        <v>0</v>
      </c>
      <c r="CJ16" s="133">
        <f>IF(ISNA(INDEX('Tarieven ZM'!$G:$G,MATCH($G16&amp;CJ$3,'Tarieven ZM'!$B:$B,0))),0,INDEX('Tarieven ZM'!$G:$G,MATCH($G16&amp;CJ$3,'Tarieven ZM'!$B:$B,0)))</f>
        <v>0</v>
      </c>
      <c r="CK16" s="120">
        <f>IF(ISNA(INDEX('Tarieven ZM'!$G:$G,MATCH($G16&amp;CK$3,'Tarieven ZM'!$B:$B,0))),0,INDEX('Tarieven ZM'!$G:$G,MATCH($G16&amp;CK$3,'Tarieven ZM'!$B:$B,0)))</f>
        <v>0</v>
      </c>
      <c r="CL16" s="129">
        <f>IF(ISNA(INDEX('Tarieven ZM'!$H:$H,MATCH($G16&amp;CL$3,'Tarieven ZM'!$B:$B,0))),0,INDEX('Tarieven ZM'!$H:$H,MATCH($G16&amp;CL$3,'Tarieven ZM'!$B:$B,0)))</f>
        <v>1000</v>
      </c>
      <c r="CM16" s="133">
        <f>IF(ISNA(INDEX('Tarieven ZM'!$H:$H,MATCH($G16&amp;CM$3,'Tarieven ZM'!$B:$B,0))),0,INDEX('Tarieven ZM'!$H:$H,MATCH($G16&amp;CM$3,'Tarieven ZM'!$B:$B,0)))</f>
        <v>1000</v>
      </c>
      <c r="CN16" s="133">
        <f>IF(ISNA(INDEX('Tarieven ZM'!$H:$H,MATCH($G16&amp;CN$3,'Tarieven ZM'!$B:$B,0))),0,INDEX('Tarieven ZM'!$H:$H,MATCH($G16&amp;CN$3,'Tarieven ZM'!$B:$B,0)))</f>
        <v>1000</v>
      </c>
      <c r="CO16" s="133">
        <f>IF(ISNA(INDEX('Tarieven ZM'!$H:$H,MATCH($G16&amp;CO$3,'Tarieven ZM'!$B:$B,0))),0,INDEX('Tarieven ZM'!$H:$H,MATCH($G16&amp;CO$3,'Tarieven ZM'!$B:$B,0)))</f>
        <v>1000</v>
      </c>
      <c r="CP16" s="133">
        <f>IF(ISNA(INDEX('Tarieven ZM'!$H:$H,MATCH($G16&amp;CP$3,'Tarieven ZM'!$B:$B,0))),0,INDEX('Tarieven ZM'!$H:$H,MATCH($G16&amp;CP$3,'Tarieven ZM'!$B:$B,0)))</f>
        <v>1000</v>
      </c>
      <c r="CQ16" s="133">
        <f>IF(ISNA(INDEX('Tarieven ZM'!$H:$H,MATCH($G16&amp;CQ$3,'Tarieven ZM'!$B:$B,0))),0,INDEX('Tarieven ZM'!$H:$H,MATCH($G16&amp;CQ$3,'Tarieven ZM'!$B:$B,0)))</f>
        <v>1000</v>
      </c>
      <c r="CR16" s="133">
        <f>IF(ISNA(INDEX('Tarieven ZM'!$H:$H,MATCH($G16&amp;CR$3,'Tarieven ZM'!$B:$B,0))),0,INDEX('Tarieven ZM'!$H:$H,MATCH($G16&amp;CR$3,'Tarieven ZM'!$B:$B,0)))</f>
        <v>1000</v>
      </c>
      <c r="CS16" s="133">
        <f>IF(ISNA(INDEX('Tarieven ZM'!$H:$H,MATCH($G16&amp;CS$3,'Tarieven ZM'!$B:$B,0))),0,INDEX('Tarieven ZM'!$H:$H,MATCH($G16&amp;CS$3,'Tarieven ZM'!$B:$B,0)))</f>
        <v>1000</v>
      </c>
      <c r="CT16" s="133">
        <f>IF(ISNA(INDEX('Tarieven ZM'!$H:$H,MATCH($G16&amp;CT$3,'Tarieven ZM'!$B:$B,0))),0,INDEX('Tarieven ZM'!$H:$H,MATCH($G16&amp;CT$3,'Tarieven ZM'!$B:$B,0)))</f>
        <v>1000</v>
      </c>
      <c r="CU16" s="133">
        <f>IF(ISNA(INDEX('Tarieven ZM'!$H:$H,MATCH($G16&amp;CU$3,'Tarieven ZM'!$B:$B,0))),0,INDEX('Tarieven ZM'!$H:$H,MATCH($G16&amp;CU$3,'Tarieven ZM'!$B:$B,0)))</f>
        <v>1000</v>
      </c>
      <c r="CV16" s="133">
        <f>IF(ISNA(INDEX('Tarieven ZM'!$H:$H,MATCH($G16&amp;CV$3,'Tarieven ZM'!$B:$B,0))),0,INDEX('Tarieven ZM'!$H:$H,MATCH($G16&amp;CV$3,'Tarieven ZM'!$B:$B,0)))</f>
        <v>1000</v>
      </c>
      <c r="CW16" s="133">
        <f>IF(ISNA(INDEX('Tarieven ZM'!$H:$H,MATCH($G16&amp;CW$3,'Tarieven ZM'!$B:$B,0))),0,INDEX('Tarieven ZM'!$H:$H,MATCH($G16&amp;CW$3,'Tarieven ZM'!$B:$B,0)))</f>
        <v>1000</v>
      </c>
      <c r="CX16" s="133">
        <f>IF(ISNA(INDEX('Tarieven ZM'!$H:$H,MATCH($G16&amp;CX$3,'Tarieven ZM'!$B:$B,0))),0,INDEX('Tarieven ZM'!$H:$H,MATCH($G16&amp;CX$3,'Tarieven ZM'!$B:$B,0)))</f>
        <v>1000</v>
      </c>
      <c r="CY16" s="133">
        <f>IF(ISNA(INDEX('Tarieven ZM'!$H:$H,MATCH($G16&amp;CY$3,'Tarieven ZM'!$B:$B,0))),0,INDEX('Tarieven ZM'!$H:$H,MATCH($G16&amp;CY$3,'Tarieven ZM'!$B:$B,0)))</f>
        <v>1000</v>
      </c>
      <c r="CZ16" s="133">
        <f>IF(ISNA(INDEX('Tarieven ZM'!$H:$H,MATCH($G16&amp;CZ$3,'Tarieven ZM'!$B:$B,0))),0,INDEX('Tarieven ZM'!$H:$H,MATCH($G16&amp;CZ$3,'Tarieven ZM'!$B:$B,0)))</f>
        <v>1000</v>
      </c>
      <c r="DA16" s="133">
        <f>IF(ISNA(INDEX('Tarieven ZM'!$H:$H,MATCH($G16&amp;DA$3,'Tarieven ZM'!$B:$B,0))),0,INDEX('Tarieven ZM'!$H:$H,MATCH($G16&amp;DA$3,'Tarieven ZM'!$B:$B,0)))</f>
        <v>1000</v>
      </c>
      <c r="DB16" s="133">
        <f>IF(ISNA(INDEX('Tarieven ZM'!$H:$H,MATCH($G16&amp;DB$3,'Tarieven ZM'!$B:$B,0))),0,INDEX('Tarieven ZM'!$H:$H,MATCH($G16&amp;DB$3,'Tarieven ZM'!$B:$B,0)))</f>
        <v>1000</v>
      </c>
      <c r="DC16" s="133">
        <f>IF(ISNA(INDEX('Tarieven ZM'!$H:$H,MATCH($G16&amp;DC$3,'Tarieven ZM'!$B:$B,0))),0,INDEX('Tarieven ZM'!$H:$H,MATCH($G16&amp;DC$3,'Tarieven ZM'!$B:$B,0)))</f>
        <v>1000</v>
      </c>
      <c r="DD16" s="133">
        <f>IF(ISNA(INDEX('Tarieven ZM'!$H:$H,MATCH($G16&amp;DD$3,'Tarieven ZM'!$B:$B,0))),0,INDEX('Tarieven ZM'!$H:$H,MATCH($G16&amp;DD$3,'Tarieven ZM'!$B:$B,0)))</f>
        <v>1000</v>
      </c>
      <c r="DE16" s="133">
        <f>IF(ISNA(INDEX('Tarieven ZM'!$H:$H,MATCH($G16&amp;DE$3,'Tarieven ZM'!$B:$B,0))),0,INDEX('Tarieven ZM'!$H:$H,MATCH($G16&amp;DE$3,'Tarieven ZM'!$B:$B,0)))</f>
        <v>1000</v>
      </c>
      <c r="DF16" s="133">
        <f>IF(ISNA(INDEX('Tarieven ZM'!$H:$H,MATCH($G16&amp;DF$3,'Tarieven ZM'!$B:$B,0))),0,INDEX('Tarieven ZM'!$H:$H,MATCH($G16&amp;DF$3,'Tarieven ZM'!$B:$B,0)))</f>
        <v>1000</v>
      </c>
      <c r="DG16" s="133">
        <f>IF(ISNA(INDEX('Tarieven ZM'!$H:$H,MATCH($G16&amp;DG$3,'Tarieven ZM'!$B:$B,0))),0,INDEX('Tarieven ZM'!$H:$H,MATCH($G16&amp;DG$3,'Tarieven ZM'!$B:$B,0)))</f>
        <v>1000</v>
      </c>
      <c r="DH16" s="133">
        <f>IF(ISNA(INDEX('Tarieven ZM'!$H:$H,MATCH($G16&amp;DH$3,'Tarieven ZM'!$B:$B,0))),0,INDEX('Tarieven ZM'!$H:$H,MATCH($G16&amp;DH$3,'Tarieven ZM'!$B:$B,0)))</f>
        <v>1000</v>
      </c>
      <c r="DI16" s="133">
        <f>IF(ISNA(INDEX('Tarieven ZM'!$H:$H,MATCH($G16&amp;DI$3,'Tarieven ZM'!$B:$B,0))),0,INDEX('Tarieven ZM'!$H:$H,MATCH($G16&amp;DI$3,'Tarieven ZM'!$B:$B,0)))</f>
        <v>1000</v>
      </c>
      <c r="DJ16" s="120">
        <f>IF(ISNA(INDEX('Tarieven ZM'!$H:$H,MATCH($G16&amp;DJ$3,'Tarieven ZM'!$B:$B,0))),0,INDEX('Tarieven ZM'!$H:$H,MATCH($G16&amp;DJ$3,'Tarieven ZM'!$B:$B,0)))</f>
        <v>1000</v>
      </c>
      <c r="DK16" s="212">
        <f t="shared" si="6"/>
        <v>1401</v>
      </c>
      <c r="DL16" s="142">
        <f>SUMPRODUCT($X16:$AV16,CL16:DJ16)/Parameters!$B$9</f>
        <v>694.44444444444446</v>
      </c>
      <c r="DM16" s="157">
        <f t="shared" si="7"/>
        <v>2095.4444444444443</v>
      </c>
      <c r="DN16" s="129">
        <f>INDEX(WLR!$J:$J,MATCH(DN$4,WLR!$A:$A,0))</f>
        <v>10.39</v>
      </c>
      <c r="DO16" s="133">
        <f>INDEX(WLR!$J:$J,MATCH(DO$4,WLR!$A:$A,0))</f>
        <v>10.39</v>
      </c>
      <c r="DP16" s="133">
        <f>INDEX(WLR!$J:$J,MATCH(DP$4,WLR!$A:$A,0))</f>
        <v>62.94</v>
      </c>
      <c r="DQ16" s="133">
        <f>INDEX(WLR!$J:$J,MATCH(DQ$4,WLR!$A:$A,0))</f>
        <v>62.94</v>
      </c>
      <c r="DR16" s="133">
        <f>INDEX(WLR!$J:$J,MATCH(DR$4,WLR!$A:$A,0))</f>
        <v>494.44</v>
      </c>
      <c r="DS16" s="133">
        <f>INDEX(WLR!$J:$J,MATCH(DS$4,WLR!$A:$A,0))</f>
        <v>494.44</v>
      </c>
      <c r="DT16" s="133">
        <f>INDEX(WLR!$J:$J,MATCH(DT$4,WLR!$A:$A,0))</f>
        <v>3510.28</v>
      </c>
      <c r="DU16" s="133">
        <f>INDEX(WLR!$J:$J,MATCH(DU$4,WLR!$A:$A,0))</f>
        <v>1.19</v>
      </c>
      <c r="DV16" s="133">
        <f>INDEX(WLR!$J:$J,MATCH(DV$4,WLR!$A:$A,0))</f>
        <v>29.43</v>
      </c>
      <c r="DW16" s="133">
        <f>INDEX(WLR!$J:$J,MATCH(DW$4,WLR!$A:$A,0))</f>
        <v>192.45</v>
      </c>
      <c r="DX16" s="133">
        <f>INDEX(WLR!$J:$J,MATCH(DX$4,WLR!$A:$A,0))</f>
        <v>9.8000000000000007</v>
      </c>
      <c r="DY16" s="133">
        <f>INDEX(WLR!$J:$J,MATCH(DY$4,WLR!$A:$A,0))</f>
        <v>34.950000000000003</v>
      </c>
      <c r="DZ16" s="133">
        <f>INDEX(WLR!$J:$J,MATCH(DZ$4,WLR!$A:$A,0))</f>
        <v>34.950000000000003</v>
      </c>
      <c r="EA16" s="133">
        <f>INDEX(WLR!$J:$J,MATCH(EA$4,WLR!$A:$A,0))</f>
        <v>2.08</v>
      </c>
      <c r="EB16" s="133">
        <f>INDEX(WLR!$J:$J,MATCH(EB$4,WLR!$A:$A,0))</f>
        <v>1.97</v>
      </c>
      <c r="EC16" s="133">
        <f>INDEX(WLR!$J:$J,MATCH(EC$4,WLR!$A:$A,0))</f>
        <v>1.97</v>
      </c>
      <c r="ED16" s="133">
        <f>INDEX(WLR!$J:$J,MATCH(ED$4,WLR!$A:$A,0))</f>
        <v>0</v>
      </c>
      <c r="EE16" s="133">
        <f>INDEX(WLR!$J:$J,MATCH(EE$4,WLR!$A:$A,0))</f>
        <v>0</v>
      </c>
      <c r="EF16" s="133">
        <f>INDEX(WLR!$J:$J,MATCH(EF$4,WLR!$A:$A,0))</f>
        <v>0.96</v>
      </c>
      <c r="EG16" s="133">
        <f>INDEX(WLR!$J:$J,MATCH(EG$4,WLR!$A:$A,0))</f>
        <v>4.53</v>
      </c>
      <c r="EH16" s="133">
        <f>INDEX(WLR!$J:$J,MATCH(EH$4,WLR!$A:$A,0))</f>
        <v>4.53</v>
      </c>
      <c r="EI16" s="133">
        <f>INDEX(WLR!$J:$J,MATCH(EI$4,WLR!$A:$A,0))</f>
        <v>7.58</v>
      </c>
      <c r="EJ16" s="133">
        <f>INDEX(WLR!$J:$J,MATCH(EJ$4,WLR!$A:$A,0))</f>
        <v>31.11</v>
      </c>
      <c r="EK16" s="133">
        <f>INDEX(WLR!$J:$J,MATCH(EK$4,WLR!$A:$A,0))</f>
        <v>31.11</v>
      </c>
      <c r="EL16" s="120">
        <f>INDEX(WLR!$J:$J,MATCH(EL$4,WLR!$A:$A,0))</f>
        <v>0.96</v>
      </c>
      <c r="EM16" s="129">
        <f>INDEX(WLR!$I:$I,MATCH(EM$4,WLR!$A:$A,0))</f>
        <v>0</v>
      </c>
      <c r="EN16" s="133">
        <f>INDEX(WLR!$I:$I,MATCH(EN$4,WLR!$A:$A,0))</f>
        <v>16.21</v>
      </c>
      <c r="EO16" s="133">
        <f>INDEX(WLR!$I:$I,MATCH(EO$4,WLR!$A:$A,0))</f>
        <v>0</v>
      </c>
      <c r="EP16" s="133">
        <f>INDEX(WLR!$I:$I,MATCH(EP$4,WLR!$A:$A,0))</f>
        <v>16.21</v>
      </c>
      <c r="EQ16" s="133">
        <f>INDEX(WLR!$I:$I,MATCH(EQ$4,WLR!$A:$A,0))</f>
        <v>0</v>
      </c>
      <c r="ER16" s="133">
        <f>INDEX(WLR!$I:$I,MATCH(ER$4,WLR!$A:$A,0))</f>
        <v>16.21</v>
      </c>
      <c r="ES16" s="133">
        <f>INDEX(WLR!$I:$I,MATCH(ES$4,WLR!$A:$A,0))</f>
        <v>0</v>
      </c>
      <c r="ET16" s="133">
        <f>INDEX(WLR!$I:$I,MATCH(ET$4,WLR!$A:$A,0))</f>
        <v>82.82</v>
      </c>
      <c r="EU16" s="133">
        <f>INDEX(WLR!$I:$I,MATCH(EU$4,WLR!$A:$A,0))</f>
        <v>748.42</v>
      </c>
      <c r="EV16" s="133">
        <f>INDEX(WLR!$I:$I,MATCH(EV$4,WLR!$A:$A,0))</f>
        <v>1282.99</v>
      </c>
      <c r="EW16" s="133">
        <f>INDEX(WLR!$I:$I,MATCH(EW$4,WLR!$A:$A,0))</f>
        <v>16.21</v>
      </c>
      <c r="EX16" s="133">
        <f>INDEX(WLR!$I:$I,MATCH(EX$4,WLR!$A:$A,0))</f>
        <v>79.94</v>
      </c>
      <c r="EY16" s="133">
        <f>INDEX(WLR!$I:$I,MATCH(EY$4,WLR!$A:$A,0))</f>
        <v>839.48</v>
      </c>
      <c r="EZ16" s="133">
        <f>INDEX(WLR!$I:$I,MATCH(EZ$4,WLR!$A:$A,0))</f>
        <v>32.950000000000003</v>
      </c>
      <c r="FA16" s="133">
        <f>INDEX(WLR!$I:$I,MATCH(FA$4,WLR!$A:$A,0))</f>
        <v>16.21</v>
      </c>
      <c r="FB16" s="133">
        <f>INDEX(WLR!$I:$I,MATCH(FB$4,WLR!$A:$A,0))</f>
        <v>16.21</v>
      </c>
      <c r="FC16" s="133">
        <f>INDEX(WLR!$I:$I,MATCH(FC$4,WLR!$A:$A,0))</f>
        <v>0</v>
      </c>
      <c r="FD16" s="133">
        <f>INDEX(WLR!$I:$I,MATCH(FD$4,WLR!$A:$A,0))</f>
        <v>15.73</v>
      </c>
      <c r="FE16" s="133">
        <f>INDEX(WLR!$I:$I,MATCH(FE$4,WLR!$A:$A,0))</f>
        <v>0</v>
      </c>
      <c r="FF16" s="133">
        <f>INDEX(WLR!$I:$I,MATCH(FF$4,WLR!$A:$A,0))</f>
        <v>0</v>
      </c>
      <c r="FG16" s="133">
        <f>INDEX(WLR!$I:$I,MATCH(FG$4,WLR!$A:$A,0))</f>
        <v>0</v>
      </c>
      <c r="FH16" s="133">
        <f>INDEX(WLR!$I:$I,MATCH(FH$4,WLR!$A:$A,0))</f>
        <v>15.73</v>
      </c>
      <c r="FI16" s="133">
        <f>INDEX(WLR!$I:$I,MATCH(FI$4,WLR!$A:$A,0))</f>
        <v>40.06</v>
      </c>
      <c r="FJ16" s="133">
        <f>INDEX(WLR!$I:$I,MATCH(FJ$4,WLR!$A:$A,0))</f>
        <v>40.06</v>
      </c>
      <c r="FK16" s="120">
        <f>INDEX(WLR!$I:$I,MATCH(FK$4,WLR!$A:$A,0))</f>
        <v>0</v>
      </c>
      <c r="FL16" s="168">
        <f>SUMPRODUCT(X16:AV16,DN16:EL16)+V16*(1-Parameters!$B$52)</f>
        <v>5036.1899999999987</v>
      </c>
      <c r="FM16" s="213">
        <f>SUMPRODUCT(X16:AV16,EM16:FK16)/Parameters!$B$9</f>
        <v>90.984444444444435</v>
      </c>
      <c r="FN16" s="136">
        <f t="shared" si="8"/>
        <v>5127.174444444443</v>
      </c>
      <c r="FO16" s="148">
        <f>DM16*Parameters!$B$3</f>
        <v>209.54444444444445</v>
      </c>
      <c r="FP16" s="142">
        <f>IF(LEFT(G16,3)="KPN",(('Vergoedingen grondslag'!$F$11+'Vergoedingen grondslag'!$I$11+'Vergoedingen grondslag'!$L$11+'Vergoedingen grondslag'!$O$11)*DK16)+('Vergoedingen grondslag'!$O$11*DL16+'Vergoedingen grondslag'!$R$11*0+'Vergoedingen grondslag'!$U$11+'Vergoedingen grondslag'!$X$11)/36,(('Vergoedingen grondslag'!$F$20+'Vergoedingen grondslag'!$I$20+'Vergoedingen grondslag'!$L$20+'Vergoedingen grondslag'!$O$20)*DK16)+('Vergoedingen grondslag'!$O$20*DL16+'Vergoedingen grondslag'!$R$20*0+'Vergoedingen grondslag'!$U$20*0)/36)</f>
        <v>56.232901234567898</v>
      </c>
      <c r="FQ16" s="133"/>
      <c r="FR16" s="157">
        <f t="shared" si="9"/>
        <v>265.77734567901234</v>
      </c>
      <c r="FS16" s="166">
        <f t="shared" si="10"/>
        <v>5392.9517901234558</v>
      </c>
      <c r="FT16" s="168">
        <f t="shared" si="1"/>
        <v>3082.1894279320986</v>
      </c>
      <c r="FU16" s="145">
        <f t="shared" si="2"/>
        <v>0.45862880846817156</v>
      </c>
      <c r="FV16" s="120" t="b">
        <f t="shared" si="11"/>
        <v>0</v>
      </c>
      <c r="FW16" s="331" t="s">
        <v>868</v>
      </c>
    </row>
    <row r="17" spans="2:179" ht="14.4">
      <c r="B17" s="129"/>
      <c r="C17" s="120"/>
      <c r="D17" s="129" t="s">
        <v>642</v>
      </c>
      <c r="E17" s="133" t="s">
        <v>648</v>
      </c>
      <c r="F17" s="133" t="s">
        <v>465</v>
      </c>
      <c r="G17" s="133" t="s">
        <v>12</v>
      </c>
      <c r="H17" s="133" t="s">
        <v>459</v>
      </c>
      <c r="I17" s="133" t="str">
        <f t="shared" si="3"/>
        <v>TZ BelBasisISDN2VVE overstap</v>
      </c>
      <c r="J17" s="120" t="str">
        <f>D17&amp;F17&amp;G17</f>
        <v>n1*ISDN2TZ</v>
      </c>
      <c r="K17" s="205">
        <f>INDEX(Facilitietenprofielen!D:D,MATCH($J17,Facilitietenprofielen!$A:$A,0))</f>
        <v>5</v>
      </c>
      <c r="L17" s="206">
        <f>INDEX(Facilitietenprofielen!E:E,MATCH($J17,Facilitietenprofielen!$A:$A,0))</f>
        <v>5</v>
      </c>
      <c r="M17" s="206">
        <f>INDEX(Facilitietenprofielen!F:F,MATCH($J17,Facilitietenprofielen!$A:$A,0))</f>
        <v>5</v>
      </c>
      <c r="N17" s="206">
        <f>INDEX(Facilitietenprofielen!G:G,MATCH($J17,Facilitietenprofielen!$A:$A,0))</f>
        <v>5</v>
      </c>
      <c r="O17" s="206">
        <f>INDEX(Facilitietenprofielen!H:H,MATCH($J17,Facilitietenprofielen!$A:$A,0))</f>
        <v>5</v>
      </c>
      <c r="P17" s="206">
        <f>INDEX(Facilitietenprofielen!I:I,MATCH($J17,Facilitietenprofielen!$A:$A,0))</f>
        <v>5</v>
      </c>
      <c r="Q17" s="206">
        <f>INDEX(Facilitietenprofielen!J:J,MATCH($J17,Facilitietenprofielen!$A:$A,0))</f>
        <v>5</v>
      </c>
      <c r="R17" s="206">
        <f>INDEX(Facilitietenprofielen!K:K,MATCH($J17,Facilitietenprofielen!$A:$A,0))</f>
        <v>5</v>
      </c>
      <c r="S17" s="206">
        <f>INDEX(Facilitietenprofielen!L:L,MATCH($J17,Facilitietenprofielen!$A:$A,0))</f>
        <v>5</v>
      </c>
      <c r="T17" s="206">
        <f>INDEX(Facilitietenprofielen!M:M,MATCH($J17,Facilitietenprofielen!$A:$A,0))</f>
        <v>510</v>
      </c>
      <c r="U17" s="206">
        <f>INDEX(Facilitietenprofielen!N:N,MATCH($J17,Facilitietenprofielen!$A:$A,0))</f>
        <v>102</v>
      </c>
      <c r="V17" s="206">
        <f>INDEX(Facilitietenprofielen!V:V,MATCH($J17,Facilitietenprofielen!$A:$A,0))</f>
        <v>1</v>
      </c>
      <c r="W17" s="206">
        <f>INDEX(Facilitietenprofielen!W:W,MATCH($J17,Facilitietenprofielen!$A:$A,0))</f>
        <v>1</v>
      </c>
      <c r="X17" s="206">
        <f>INDEX(Facilitietenprofielen!O:O,MATCH($J17,Facilitietenprofielen!$A:$A,0))</f>
        <v>1</v>
      </c>
      <c r="Y17" s="206">
        <f>INDEX(Facilitietenprofielen!P:P,MATCH($J17,Facilitietenprofielen!$A:$A,0))</f>
        <v>1</v>
      </c>
      <c r="Z17" s="206">
        <f>INDEX(Facilitietenprofielen!Q:Q,MATCH($J17,Facilitietenprofielen!$A:$A,0))</f>
        <v>1</v>
      </c>
      <c r="AA17" s="206">
        <f>INDEX(Facilitietenprofielen!R:R,MATCH($J17,Facilitietenprofielen!$A:$A,0))</f>
        <v>1</v>
      </c>
      <c r="AB17" s="206">
        <f>INDEX(Facilitietenprofielen!S:S,MATCH($J17,Facilitietenprofielen!$A:$A,0))</f>
        <v>1</v>
      </c>
      <c r="AC17" s="206">
        <f>INDEX(Facilitietenprofielen!T:T,MATCH($J17,Facilitietenprofielen!$A:$A,0))</f>
        <v>1</v>
      </c>
      <c r="AD17" s="206">
        <f>INDEX(Facilitietenprofielen!U:U,MATCH($J17,Facilitietenprofielen!$A:$A,0))</f>
        <v>1</v>
      </c>
      <c r="AE17" s="206">
        <f>INDEX(Facilitietenprofielen!Y:Y,MATCH($J17,Facilitietenprofielen!$A:$A,0))</f>
        <v>1</v>
      </c>
      <c r="AF17" s="206">
        <f>INDEX(Facilitietenprofielen!Z:Z,MATCH($J17,Facilitietenprofielen!$A:$A,0))</f>
        <v>1</v>
      </c>
      <c r="AG17" s="206">
        <f>INDEX(Facilitietenprofielen!AA:AA,MATCH($J17,Facilitietenprofielen!$A:$A,0))</f>
        <v>1</v>
      </c>
      <c r="AH17" s="206">
        <f>INDEX(Facilitietenprofielen!AB:AB,MATCH($J17,Facilitietenprofielen!$A:$A,0))</f>
        <v>1</v>
      </c>
      <c r="AI17" s="206">
        <f>INDEX(Facilitietenprofielen!AC:AC,MATCH($J17,Facilitietenprofielen!$A:$A,0))</f>
        <v>1</v>
      </c>
      <c r="AJ17" s="206">
        <f>INDEX(Facilitietenprofielen!AD:AD,MATCH($J17,Facilitietenprofielen!$A:$A,0))</f>
        <v>1</v>
      </c>
      <c r="AK17" s="206">
        <f>INDEX(Facilitietenprofielen!AE:AE,MATCH($J17,Facilitietenprofielen!$A:$A,0))</f>
        <v>1</v>
      </c>
      <c r="AL17" s="206">
        <f>INDEX(Facilitietenprofielen!AF:AF,MATCH($J17,Facilitietenprofielen!$A:$A,0))</f>
        <v>1</v>
      </c>
      <c r="AM17" s="206">
        <f>INDEX(Facilitietenprofielen!AG:AG,MATCH($J17,Facilitietenprofielen!$A:$A,0))</f>
        <v>1</v>
      </c>
      <c r="AN17" s="206">
        <f>INDEX(Facilitietenprofielen!AH:AH,MATCH($J17,Facilitietenprofielen!$A:$A,0))</f>
        <v>1</v>
      </c>
      <c r="AO17" s="206">
        <f>INDEX(Facilitietenprofielen!AI:AI,MATCH($J17,Facilitietenprofielen!$A:$A,0))</f>
        <v>1</v>
      </c>
      <c r="AP17" s="206">
        <f>INDEX(Facilitietenprofielen!AJ:AJ,MATCH($J17,Facilitietenprofielen!$A:$A,0))</f>
        <v>1</v>
      </c>
      <c r="AQ17" s="206">
        <f>INDEX(Facilitietenprofielen!AK:AK,MATCH($J17,Facilitietenprofielen!$A:$A,0))</f>
        <v>1</v>
      </c>
      <c r="AR17" s="206">
        <f>INDEX(Facilitietenprofielen!AL:AL,MATCH($J17,Facilitietenprofielen!$A:$A,0))</f>
        <v>1</v>
      </c>
      <c r="AS17" s="206">
        <f>INDEX(Facilitietenprofielen!AM:AM,MATCH($J17,Facilitietenprofielen!$A:$A,0))</f>
        <v>1</v>
      </c>
      <c r="AT17" s="206">
        <f>INDEX(Facilitietenprofielen!AN:AN,MATCH($J17,Facilitietenprofielen!$A:$A,0))</f>
        <v>1</v>
      </c>
      <c r="AU17" s="206">
        <f>INDEX(Facilitietenprofielen!AO:AO,MATCH($J17,Facilitietenprofielen!$A:$A,0))</f>
        <v>1</v>
      </c>
      <c r="AV17" s="207">
        <f>INDEX(Facilitietenprofielen!AP:AP,MATCH($J17,Facilitietenprofielen!$A:$A,0))</f>
        <v>1</v>
      </c>
      <c r="AW17" s="206">
        <f>INDEX('Rekenblad Aansluiting'!$O:$O,MATCH($G17&amp;" "&amp;$E17&amp;BE$3&amp;$H17,'Rekenblad Aansluiting'!$A:$A,0))</f>
        <v>102.77777777777777</v>
      </c>
      <c r="AX17" s="206">
        <f>INDEX('Rekenblad Aansluiting'!$O:$O,MATCH($G17&amp;" "&amp;$E17&amp;BF$3&amp;$H17,'Rekenblad Aansluiting'!$A:$A,0))</f>
        <v>102.77777777777777</v>
      </c>
      <c r="AY17" s="206">
        <f>INDEX('Rekenblad Aansluiting'!$O:$O,MATCH($G17&amp;" "&amp;$E17&amp;BG$3&amp;$H17,'Rekenblad Aansluiting'!$A:$A,0))</f>
        <v>102.77777777777777</v>
      </c>
      <c r="AZ17" s="206">
        <f>INDEX('Rekenblad Aansluiting'!$O:$O,MATCH($G17&amp;" "&amp;$E17&amp;BH$3&amp;$H17,'Rekenblad Aansluiting'!$A:$A,0))</f>
        <v>102.77777777777777</v>
      </c>
      <c r="BA17" s="206">
        <f>INDEX('Rekenblad Aansluiting'!$O:$O,MATCH($G17&amp;" "&amp;$E17&amp;BI$3&amp;$H17,'Rekenblad Aansluiting'!$A:$A,0))</f>
        <v>102.77777777777777</v>
      </c>
      <c r="BB17" s="206">
        <f>INDEX('Rekenblad Aansluiting'!$O:$O,MATCH($G17&amp;" "&amp;$E17&amp;BJ$3&amp;$H17,'Rekenblad Aansluiting'!$A:$A,0))</f>
        <v>102.77777777777777</v>
      </c>
      <c r="BC17" s="206">
        <f>INDEX('Rekenblad Aansluiting'!$O:$O,MATCH($G17&amp;" "&amp;$E17&amp;BK$3&amp;$H17,'Rekenblad Aansluiting'!$A:$A,0))</f>
        <v>102.77777777777777</v>
      </c>
      <c r="BD17" s="206">
        <f t="shared" si="5"/>
        <v>4625</v>
      </c>
      <c r="BE17" s="212">
        <f>INDEX('Rekenblad Aansluiting'!$X:$X,MATCH($G17&amp;" "&amp;$E17&amp;BE$3&amp;$H17,'Rekenblad Aansluiting'!$A:$A,0))</f>
        <v>78.673244727777771</v>
      </c>
      <c r="BF17" s="213">
        <f>INDEX('Rekenblad Aansluiting'!$X:$X,MATCH($G17&amp;" "&amp;$E17&amp;BF$3&amp;$H17,'Rekenblad Aansluiting'!$A:$A,0))</f>
        <v>78.673244727777771</v>
      </c>
      <c r="BG17" s="213">
        <f>INDEX('Rekenblad Aansluiting'!$X:$X,MATCH($G17&amp;" "&amp;$E17&amp;BG$3&amp;$H17,'Rekenblad Aansluiting'!$A:$A,0))</f>
        <v>78.673244727777771</v>
      </c>
      <c r="BH17" s="213">
        <f>INDEX('Rekenblad Aansluiting'!$X:$X,MATCH($G17&amp;" "&amp;$E17&amp;BH$3&amp;$H17,'Rekenblad Aansluiting'!$A:$A,0))</f>
        <v>68.634321472222211</v>
      </c>
      <c r="BI17" s="213">
        <f>INDEX('Rekenblad Aansluiting'!$X:$X,MATCH($G17&amp;" "&amp;$E17&amp;BI$3&amp;$H17,'Rekenblad Aansluiting'!$A:$A,0))</f>
        <v>68.634321472222211</v>
      </c>
      <c r="BJ17" s="213">
        <f>INDEX('Rekenblad Aansluiting'!$X:$X,MATCH($G17&amp;" "&amp;$E17&amp;BJ$3&amp;$H17,'Rekenblad Aansluiting'!$A:$A,0))</f>
        <v>68.634321472222211</v>
      </c>
      <c r="BK17" s="213">
        <f>INDEX('Rekenblad Aansluiting'!$X:$X,MATCH($G17&amp;" "&amp;$E17&amp;BK$3&amp;$H17,'Rekenblad Aansluiting'!$A:$A,0))</f>
        <v>87.924166666666665</v>
      </c>
      <c r="BL17" s="223">
        <f t="shared" si="0"/>
        <v>3435.966773611111</v>
      </c>
      <c r="BM17" s="129">
        <f>IF(ISNA(INDEX('Tarieven ZM'!$G:$G,MATCH($G17&amp;BM$3,'Tarieven ZM'!$B:$B,0))),0,INDEX('Tarieven ZM'!$G:$G,MATCH($G17&amp;BM$3,'Tarieven ZM'!$B:$B,0)))</f>
        <v>100</v>
      </c>
      <c r="BN17" s="133">
        <f>IF(ISNA(INDEX('Tarieven ZM'!$G:$G,MATCH($G17&amp;BN$3,'Tarieven ZM'!$B:$B,0))),0,INDEX('Tarieven ZM'!$G:$G,MATCH($G17&amp;BN$3,'Tarieven ZM'!$B:$B,0)))</f>
        <v>100</v>
      </c>
      <c r="BO17" s="133">
        <f>IF(ISNA(INDEX('Tarieven ZM'!$G:$G,MATCH($G17&amp;BO$3,'Tarieven ZM'!$B:$B,0))),0,INDEX('Tarieven ZM'!$G:$G,MATCH($G17&amp;BO$3,'Tarieven ZM'!$B:$B,0)))</f>
        <v>100</v>
      </c>
      <c r="BP17" s="133">
        <f>IF(ISNA(INDEX('Tarieven ZM'!$G:$G,MATCH($G17&amp;BP$3,'Tarieven ZM'!$B:$B,0))),0,INDEX('Tarieven ZM'!$G:$G,MATCH($G17&amp;BP$3,'Tarieven ZM'!$B:$B,0)))</f>
        <v>100</v>
      </c>
      <c r="BQ17" s="133">
        <f>IF(ISNA(INDEX('Tarieven ZM'!$G:$G,MATCH($G17&amp;BQ$3,'Tarieven ZM'!$B:$B,0))),0,INDEX('Tarieven ZM'!$G:$G,MATCH($G17&amp;BQ$3,'Tarieven ZM'!$B:$B,0)))</f>
        <v>100</v>
      </c>
      <c r="BR17" s="133">
        <f>IF(ISNA(INDEX('Tarieven ZM'!$G:$G,MATCH($G17&amp;BR$3,'Tarieven ZM'!$B:$B,0))),0,INDEX('Tarieven ZM'!$G:$G,MATCH($G17&amp;BR$3,'Tarieven ZM'!$B:$B,0)))</f>
        <v>100</v>
      </c>
      <c r="BS17" s="133">
        <f>IF(ISNA(INDEX('Tarieven ZM'!$G:$G,MATCH($G17&amp;BS$3,'Tarieven ZM'!$B:$B,0))),0,INDEX('Tarieven ZM'!$G:$G,MATCH($G17&amp;BS$3,'Tarieven ZM'!$B:$B,0)))</f>
        <v>0</v>
      </c>
      <c r="BT17" s="133">
        <f>IF(ISNA(INDEX('Tarieven ZM'!$G:$G,MATCH($G17&amp;BT$3,'Tarieven ZM'!$B:$B,0))),0,INDEX('Tarieven ZM'!$G:$G,MATCH($G17&amp;BT$3,'Tarieven ZM'!$B:$B,0)))</f>
        <v>0</v>
      </c>
      <c r="BU17" s="133">
        <f>IF(ISNA(INDEX('Tarieven ZM'!$G:$G,MATCH($G17&amp;BU$3,'Tarieven ZM'!$B:$B,0))),0,INDEX('Tarieven ZM'!$G:$G,MATCH($G17&amp;BU$3,'Tarieven ZM'!$B:$B,0)))</f>
        <v>0</v>
      </c>
      <c r="BV17" s="133">
        <f>IF(ISNA(INDEX('Tarieven ZM'!$G:$G,MATCH($G17&amp;BV$3,'Tarieven ZM'!$B:$B,0))),0,INDEX('Tarieven ZM'!$G:$G,MATCH($G17&amp;BV$3,'Tarieven ZM'!$B:$B,0)))</f>
        <v>0</v>
      </c>
      <c r="BW17" s="133">
        <f>IF(ISNA(INDEX('Tarieven ZM'!$G:$G,MATCH($G17&amp;BW$3,'Tarieven ZM'!$B:$B,0))),0,INDEX('Tarieven ZM'!$G:$G,MATCH($G17&amp;BW$3,'Tarieven ZM'!$B:$B,0)))</f>
        <v>100</v>
      </c>
      <c r="BX17" s="133">
        <f>IF(ISNA(INDEX('Tarieven ZM'!$G:$G,MATCH($G17&amp;BX$3,'Tarieven ZM'!$B:$B,0))),0,INDEX('Tarieven ZM'!$G:$G,MATCH($G17&amp;BX$3,'Tarieven ZM'!$B:$B,0)))</f>
        <v>0</v>
      </c>
      <c r="BY17" s="133">
        <f>IF(ISNA(INDEX('Tarieven ZM'!$G:$G,MATCH($G17&amp;BY$3,'Tarieven ZM'!$B:$B,0))),0,INDEX('Tarieven ZM'!$G:$G,MATCH($G17&amp;BY$3,'Tarieven ZM'!$B:$B,0)))</f>
        <v>0</v>
      </c>
      <c r="BZ17" s="133">
        <f>IF(ISNA(INDEX('Tarieven ZM'!$G:$G,MATCH($G17&amp;BZ$3,'Tarieven ZM'!$B:$B,0))),0,INDEX('Tarieven ZM'!$G:$G,MATCH($G17&amp;BZ$3,'Tarieven ZM'!$B:$B,0)))</f>
        <v>100</v>
      </c>
      <c r="CA17" s="133">
        <f>IF(ISNA(INDEX('Tarieven ZM'!$G:$G,MATCH($G17&amp;CA$3,'Tarieven ZM'!$B:$B,0))),0,INDEX('Tarieven ZM'!$G:$G,MATCH($G17&amp;CA$3,'Tarieven ZM'!$B:$B,0)))</f>
        <v>100</v>
      </c>
      <c r="CB17" s="133">
        <f>IF(ISNA(INDEX('Tarieven ZM'!$G:$G,MATCH($G17&amp;CB$3,'Tarieven ZM'!$B:$B,0))),0,INDEX('Tarieven ZM'!$G:$G,MATCH($G17&amp;CB$3,'Tarieven ZM'!$B:$B,0)))</f>
        <v>100</v>
      </c>
      <c r="CC17" s="133">
        <f>IF(ISNA(INDEX('Tarieven ZM'!$G:$G,MATCH($G17&amp;CC$3,'Tarieven ZM'!$B:$B,0))),0,INDEX('Tarieven ZM'!$G:$G,MATCH($G17&amp;CC$3,'Tarieven ZM'!$B:$B,0)))</f>
        <v>100</v>
      </c>
      <c r="CD17" s="133">
        <f>IF(ISNA(INDEX('Tarieven ZM'!$G:$G,MATCH($G17&amp;CD$3,'Tarieven ZM'!$B:$B,0))),0,INDEX('Tarieven ZM'!$G:$G,MATCH($G17&amp;CD$3,'Tarieven ZM'!$B:$B,0)))</f>
        <v>100</v>
      </c>
      <c r="CE17" s="133">
        <f>IF(ISNA(INDEX('Tarieven ZM'!$G:$G,MATCH($G17&amp;CE$3,'Tarieven ZM'!$B:$B,0))),0,INDEX('Tarieven ZM'!$G:$G,MATCH($G17&amp;CE$3,'Tarieven ZM'!$B:$B,0)))</f>
        <v>0</v>
      </c>
      <c r="CF17" s="133">
        <f>IF(ISNA(INDEX('Tarieven ZM'!$G:$G,MATCH($G17&amp;CF$3,'Tarieven ZM'!$B:$B,0))),0,INDEX('Tarieven ZM'!$G:$G,MATCH($G17&amp;CF$3,'Tarieven ZM'!$B:$B,0)))</f>
        <v>100</v>
      </c>
      <c r="CG17" s="133">
        <f>IF(ISNA(INDEX('Tarieven ZM'!$G:$G,MATCH($G17&amp;CG$3,'Tarieven ZM'!$B:$B,0))),0,INDEX('Tarieven ZM'!$G:$G,MATCH($G17&amp;CG$3,'Tarieven ZM'!$B:$B,0)))</f>
        <v>100</v>
      </c>
      <c r="CH17" s="133">
        <f>IF(ISNA(INDEX('Tarieven ZM'!$G:$G,MATCH($G17&amp;CH$3,'Tarieven ZM'!$B:$B,0))),0,INDEX('Tarieven ZM'!$G:$G,MATCH($G17&amp;CH$3,'Tarieven ZM'!$B:$B,0)))</f>
        <v>0</v>
      </c>
      <c r="CI17" s="133">
        <f>IF(ISNA(INDEX('Tarieven ZM'!$G:$G,MATCH($G17&amp;CI$3,'Tarieven ZM'!$B:$B,0))),0,INDEX('Tarieven ZM'!$G:$G,MATCH($G17&amp;CI$3,'Tarieven ZM'!$B:$B,0)))</f>
        <v>0</v>
      </c>
      <c r="CJ17" s="133">
        <f>IF(ISNA(INDEX('Tarieven ZM'!$G:$G,MATCH($G17&amp;CJ$3,'Tarieven ZM'!$B:$B,0))),0,INDEX('Tarieven ZM'!$G:$G,MATCH($G17&amp;CJ$3,'Tarieven ZM'!$B:$B,0)))</f>
        <v>0</v>
      </c>
      <c r="CK17" s="120">
        <f>IF(ISNA(INDEX('Tarieven ZM'!$G:$G,MATCH($G17&amp;CK$3,'Tarieven ZM'!$B:$B,0))),0,INDEX('Tarieven ZM'!$G:$G,MATCH($G17&amp;CK$3,'Tarieven ZM'!$B:$B,0)))</f>
        <v>0</v>
      </c>
      <c r="CL17" s="129">
        <f>IF(ISNA(INDEX('Tarieven ZM'!$H:$H,MATCH($G17&amp;CL$3,'Tarieven ZM'!$B:$B,0))),0,INDEX('Tarieven ZM'!$H:$H,MATCH($G17&amp;CL$3,'Tarieven ZM'!$B:$B,0)))</f>
        <v>1000</v>
      </c>
      <c r="CM17" s="133">
        <f>IF(ISNA(INDEX('Tarieven ZM'!$H:$H,MATCH($G17&amp;CM$3,'Tarieven ZM'!$B:$B,0))),0,INDEX('Tarieven ZM'!$H:$H,MATCH($G17&amp;CM$3,'Tarieven ZM'!$B:$B,0)))</f>
        <v>1000</v>
      </c>
      <c r="CN17" s="133">
        <f>IF(ISNA(INDEX('Tarieven ZM'!$H:$H,MATCH($G17&amp;CN$3,'Tarieven ZM'!$B:$B,0))),0,INDEX('Tarieven ZM'!$H:$H,MATCH($G17&amp;CN$3,'Tarieven ZM'!$B:$B,0)))</f>
        <v>1000</v>
      </c>
      <c r="CO17" s="133">
        <f>IF(ISNA(INDEX('Tarieven ZM'!$H:$H,MATCH($G17&amp;CO$3,'Tarieven ZM'!$B:$B,0))),0,INDEX('Tarieven ZM'!$H:$H,MATCH($G17&amp;CO$3,'Tarieven ZM'!$B:$B,0)))</f>
        <v>1000</v>
      </c>
      <c r="CP17" s="133">
        <f>IF(ISNA(INDEX('Tarieven ZM'!$H:$H,MATCH($G17&amp;CP$3,'Tarieven ZM'!$B:$B,0))),0,INDEX('Tarieven ZM'!$H:$H,MATCH($G17&amp;CP$3,'Tarieven ZM'!$B:$B,0)))</f>
        <v>1000</v>
      </c>
      <c r="CQ17" s="133">
        <f>IF(ISNA(INDEX('Tarieven ZM'!$H:$H,MATCH($G17&amp;CQ$3,'Tarieven ZM'!$B:$B,0))),0,INDEX('Tarieven ZM'!$H:$H,MATCH($G17&amp;CQ$3,'Tarieven ZM'!$B:$B,0)))</f>
        <v>1000</v>
      </c>
      <c r="CR17" s="133">
        <f>IF(ISNA(INDEX('Tarieven ZM'!$H:$H,MATCH($G17&amp;CR$3,'Tarieven ZM'!$B:$B,0))),0,INDEX('Tarieven ZM'!$H:$H,MATCH($G17&amp;CR$3,'Tarieven ZM'!$B:$B,0)))</f>
        <v>1000</v>
      </c>
      <c r="CS17" s="133">
        <f>IF(ISNA(INDEX('Tarieven ZM'!$H:$H,MATCH($G17&amp;CS$3,'Tarieven ZM'!$B:$B,0))),0,INDEX('Tarieven ZM'!$H:$H,MATCH($G17&amp;CS$3,'Tarieven ZM'!$B:$B,0)))</f>
        <v>1000</v>
      </c>
      <c r="CT17" s="133">
        <f>IF(ISNA(INDEX('Tarieven ZM'!$H:$H,MATCH($G17&amp;CT$3,'Tarieven ZM'!$B:$B,0))),0,INDEX('Tarieven ZM'!$H:$H,MATCH($G17&amp;CT$3,'Tarieven ZM'!$B:$B,0)))</f>
        <v>1000</v>
      </c>
      <c r="CU17" s="133">
        <f>IF(ISNA(INDEX('Tarieven ZM'!$H:$H,MATCH($G17&amp;CU$3,'Tarieven ZM'!$B:$B,0))),0,INDEX('Tarieven ZM'!$H:$H,MATCH($G17&amp;CU$3,'Tarieven ZM'!$B:$B,0)))</f>
        <v>1000</v>
      </c>
      <c r="CV17" s="133">
        <f>IF(ISNA(INDEX('Tarieven ZM'!$H:$H,MATCH($G17&amp;CV$3,'Tarieven ZM'!$B:$B,0))),0,INDEX('Tarieven ZM'!$H:$H,MATCH($G17&amp;CV$3,'Tarieven ZM'!$B:$B,0)))</f>
        <v>1000</v>
      </c>
      <c r="CW17" s="133">
        <f>IF(ISNA(INDEX('Tarieven ZM'!$H:$H,MATCH($G17&amp;CW$3,'Tarieven ZM'!$B:$B,0))),0,INDEX('Tarieven ZM'!$H:$H,MATCH($G17&amp;CW$3,'Tarieven ZM'!$B:$B,0)))</f>
        <v>1000</v>
      </c>
      <c r="CX17" s="133">
        <f>IF(ISNA(INDEX('Tarieven ZM'!$H:$H,MATCH($G17&amp;CX$3,'Tarieven ZM'!$B:$B,0))),0,INDEX('Tarieven ZM'!$H:$H,MATCH($G17&amp;CX$3,'Tarieven ZM'!$B:$B,0)))</f>
        <v>1000</v>
      </c>
      <c r="CY17" s="133">
        <f>IF(ISNA(INDEX('Tarieven ZM'!$H:$H,MATCH($G17&amp;CY$3,'Tarieven ZM'!$B:$B,0))),0,INDEX('Tarieven ZM'!$H:$H,MATCH($G17&amp;CY$3,'Tarieven ZM'!$B:$B,0)))</f>
        <v>1000</v>
      </c>
      <c r="CZ17" s="133">
        <f>IF(ISNA(INDEX('Tarieven ZM'!$H:$H,MATCH($G17&amp;CZ$3,'Tarieven ZM'!$B:$B,0))),0,INDEX('Tarieven ZM'!$H:$H,MATCH($G17&amp;CZ$3,'Tarieven ZM'!$B:$B,0)))</f>
        <v>1000</v>
      </c>
      <c r="DA17" s="133">
        <f>IF(ISNA(INDEX('Tarieven ZM'!$H:$H,MATCH($G17&amp;DA$3,'Tarieven ZM'!$B:$B,0))),0,INDEX('Tarieven ZM'!$H:$H,MATCH($G17&amp;DA$3,'Tarieven ZM'!$B:$B,0)))</f>
        <v>1000</v>
      </c>
      <c r="DB17" s="133">
        <f>IF(ISNA(INDEX('Tarieven ZM'!$H:$H,MATCH($G17&amp;DB$3,'Tarieven ZM'!$B:$B,0))),0,INDEX('Tarieven ZM'!$H:$H,MATCH($G17&amp;DB$3,'Tarieven ZM'!$B:$B,0)))</f>
        <v>1000</v>
      </c>
      <c r="DC17" s="133">
        <f>IF(ISNA(INDEX('Tarieven ZM'!$H:$H,MATCH($G17&amp;DC$3,'Tarieven ZM'!$B:$B,0))),0,INDEX('Tarieven ZM'!$H:$H,MATCH($G17&amp;DC$3,'Tarieven ZM'!$B:$B,0)))</f>
        <v>1000</v>
      </c>
      <c r="DD17" s="133">
        <f>IF(ISNA(INDEX('Tarieven ZM'!$H:$H,MATCH($G17&amp;DD$3,'Tarieven ZM'!$B:$B,0))),0,INDEX('Tarieven ZM'!$H:$H,MATCH($G17&amp;DD$3,'Tarieven ZM'!$B:$B,0)))</f>
        <v>1000</v>
      </c>
      <c r="DE17" s="133">
        <f>IF(ISNA(INDEX('Tarieven ZM'!$H:$H,MATCH($G17&amp;DE$3,'Tarieven ZM'!$B:$B,0))),0,INDEX('Tarieven ZM'!$H:$H,MATCH($G17&amp;DE$3,'Tarieven ZM'!$B:$B,0)))</f>
        <v>1000</v>
      </c>
      <c r="DF17" s="133">
        <f>IF(ISNA(INDEX('Tarieven ZM'!$H:$H,MATCH($G17&amp;DF$3,'Tarieven ZM'!$B:$B,0))),0,INDEX('Tarieven ZM'!$H:$H,MATCH($G17&amp;DF$3,'Tarieven ZM'!$B:$B,0)))</f>
        <v>1000</v>
      </c>
      <c r="DG17" s="133">
        <f>IF(ISNA(INDEX('Tarieven ZM'!$H:$H,MATCH($G17&amp;DG$3,'Tarieven ZM'!$B:$B,0))),0,INDEX('Tarieven ZM'!$H:$H,MATCH($G17&amp;DG$3,'Tarieven ZM'!$B:$B,0)))</f>
        <v>1000</v>
      </c>
      <c r="DH17" s="133">
        <f>IF(ISNA(INDEX('Tarieven ZM'!$H:$H,MATCH($G17&amp;DH$3,'Tarieven ZM'!$B:$B,0))),0,INDEX('Tarieven ZM'!$H:$H,MATCH($G17&amp;DH$3,'Tarieven ZM'!$B:$B,0)))</f>
        <v>1000</v>
      </c>
      <c r="DI17" s="133">
        <f>IF(ISNA(INDEX('Tarieven ZM'!$H:$H,MATCH($G17&amp;DI$3,'Tarieven ZM'!$B:$B,0))),0,INDEX('Tarieven ZM'!$H:$H,MATCH($G17&amp;DI$3,'Tarieven ZM'!$B:$B,0)))</f>
        <v>1000</v>
      </c>
      <c r="DJ17" s="120">
        <f>IF(ISNA(INDEX('Tarieven ZM'!$H:$H,MATCH($G17&amp;DJ$3,'Tarieven ZM'!$B:$B,0))),0,INDEX('Tarieven ZM'!$H:$H,MATCH($G17&amp;DJ$3,'Tarieven ZM'!$B:$B,0)))</f>
        <v>1000</v>
      </c>
      <c r="DK17" s="212">
        <f t="shared" si="6"/>
        <v>1401</v>
      </c>
      <c r="DL17" s="142">
        <f>SUMPRODUCT($X17:$AV17,CL17:DJ17)/Parameters!$B$9</f>
        <v>694.44444444444446</v>
      </c>
      <c r="DM17" s="157">
        <f t="shared" si="7"/>
        <v>2095.4444444444443</v>
      </c>
      <c r="DN17" s="129">
        <f>INDEX(WLR!$J:$J,MATCH(DN$4,WLR!$A:$A,0))</f>
        <v>10.39</v>
      </c>
      <c r="DO17" s="133">
        <f>INDEX(WLR!$J:$J,MATCH(DO$4,WLR!$A:$A,0))</f>
        <v>10.39</v>
      </c>
      <c r="DP17" s="133">
        <f>INDEX(WLR!$J:$J,MATCH(DP$4,WLR!$A:$A,0))</f>
        <v>62.94</v>
      </c>
      <c r="DQ17" s="133">
        <f>INDEX(WLR!$J:$J,MATCH(DQ$4,WLR!$A:$A,0))</f>
        <v>62.94</v>
      </c>
      <c r="DR17" s="133">
        <f>INDEX(WLR!$J:$J,MATCH(DR$4,WLR!$A:$A,0))</f>
        <v>494.44</v>
      </c>
      <c r="DS17" s="133">
        <f>INDEX(WLR!$J:$J,MATCH(DS$4,WLR!$A:$A,0))</f>
        <v>494.44</v>
      </c>
      <c r="DT17" s="133">
        <f>INDEX(WLR!$J:$J,MATCH(DT$4,WLR!$A:$A,0))</f>
        <v>3510.28</v>
      </c>
      <c r="DU17" s="133">
        <f>INDEX(WLR!$J:$J,MATCH(DU$4,WLR!$A:$A,0))</f>
        <v>1.19</v>
      </c>
      <c r="DV17" s="133">
        <f>INDEX(WLR!$J:$J,MATCH(DV$4,WLR!$A:$A,0))</f>
        <v>29.43</v>
      </c>
      <c r="DW17" s="133">
        <f>INDEX(WLR!$J:$J,MATCH(DW$4,WLR!$A:$A,0))</f>
        <v>192.45</v>
      </c>
      <c r="DX17" s="133">
        <f>INDEX(WLR!$J:$J,MATCH(DX$4,WLR!$A:$A,0))</f>
        <v>9.8000000000000007</v>
      </c>
      <c r="DY17" s="133">
        <f>INDEX(WLR!$J:$J,MATCH(DY$4,WLR!$A:$A,0))</f>
        <v>34.950000000000003</v>
      </c>
      <c r="DZ17" s="133">
        <f>INDEX(WLR!$J:$J,MATCH(DZ$4,WLR!$A:$A,0))</f>
        <v>34.950000000000003</v>
      </c>
      <c r="EA17" s="133">
        <f>INDEX(WLR!$J:$J,MATCH(EA$4,WLR!$A:$A,0))</f>
        <v>2.08</v>
      </c>
      <c r="EB17" s="133">
        <f>INDEX(WLR!$J:$J,MATCH(EB$4,WLR!$A:$A,0))</f>
        <v>1.97</v>
      </c>
      <c r="EC17" s="133">
        <f>INDEX(WLR!$J:$J,MATCH(EC$4,WLR!$A:$A,0))</f>
        <v>1.97</v>
      </c>
      <c r="ED17" s="133">
        <f>INDEX(WLR!$J:$J,MATCH(ED$4,WLR!$A:$A,0))</f>
        <v>0</v>
      </c>
      <c r="EE17" s="133">
        <f>INDEX(WLR!$J:$J,MATCH(EE$4,WLR!$A:$A,0))</f>
        <v>0</v>
      </c>
      <c r="EF17" s="133">
        <f>INDEX(WLR!$J:$J,MATCH(EF$4,WLR!$A:$A,0))</f>
        <v>0.96</v>
      </c>
      <c r="EG17" s="133">
        <f>INDEX(WLR!$J:$J,MATCH(EG$4,WLR!$A:$A,0))</f>
        <v>4.53</v>
      </c>
      <c r="EH17" s="133">
        <f>INDEX(WLR!$J:$J,MATCH(EH$4,WLR!$A:$A,0))</f>
        <v>4.53</v>
      </c>
      <c r="EI17" s="133">
        <f>INDEX(WLR!$J:$J,MATCH(EI$4,WLR!$A:$A,0))</f>
        <v>7.58</v>
      </c>
      <c r="EJ17" s="133">
        <f>INDEX(WLR!$J:$J,MATCH(EJ$4,WLR!$A:$A,0))</f>
        <v>31.11</v>
      </c>
      <c r="EK17" s="133">
        <f>INDEX(WLR!$J:$J,MATCH(EK$4,WLR!$A:$A,0))</f>
        <v>31.11</v>
      </c>
      <c r="EL17" s="120">
        <f>INDEX(WLR!$J:$J,MATCH(EL$4,WLR!$A:$A,0))</f>
        <v>0.96</v>
      </c>
      <c r="EM17" s="129">
        <f>INDEX(WLR!$I:$I,MATCH(EM$4,WLR!$A:$A,0))</f>
        <v>0</v>
      </c>
      <c r="EN17" s="133">
        <f>INDEX(WLR!$I:$I,MATCH(EN$4,WLR!$A:$A,0))</f>
        <v>16.21</v>
      </c>
      <c r="EO17" s="133">
        <f>INDEX(WLR!$I:$I,MATCH(EO$4,WLR!$A:$A,0))</f>
        <v>0</v>
      </c>
      <c r="EP17" s="133">
        <f>INDEX(WLR!$I:$I,MATCH(EP$4,WLR!$A:$A,0))</f>
        <v>16.21</v>
      </c>
      <c r="EQ17" s="133">
        <f>INDEX(WLR!$I:$I,MATCH(EQ$4,WLR!$A:$A,0))</f>
        <v>0</v>
      </c>
      <c r="ER17" s="133">
        <f>INDEX(WLR!$I:$I,MATCH(ER$4,WLR!$A:$A,0))</f>
        <v>16.21</v>
      </c>
      <c r="ES17" s="133">
        <f>INDEX(WLR!$I:$I,MATCH(ES$4,WLR!$A:$A,0))</f>
        <v>0</v>
      </c>
      <c r="ET17" s="133">
        <f>INDEX(WLR!$I:$I,MATCH(ET$4,WLR!$A:$A,0))</f>
        <v>82.82</v>
      </c>
      <c r="EU17" s="133">
        <f>INDEX(WLR!$I:$I,MATCH(EU$4,WLR!$A:$A,0))</f>
        <v>748.42</v>
      </c>
      <c r="EV17" s="133">
        <f>INDEX(WLR!$I:$I,MATCH(EV$4,WLR!$A:$A,0))</f>
        <v>1282.99</v>
      </c>
      <c r="EW17" s="133">
        <f>INDEX(WLR!$I:$I,MATCH(EW$4,WLR!$A:$A,0))</f>
        <v>16.21</v>
      </c>
      <c r="EX17" s="133">
        <f>INDEX(WLR!$I:$I,MATCH(EX$4,WLR!$A:$A,0))</f>
        <v>79.94</v>
      </c>
      <c r="EY17" s="133">
        <f>INDEX(WLR!$I:$I,MATCH(EY$4,WLR!$A:$A,0))</f>
        <v>839.48</v>
      </c>
      <c r="EZ17" s="133">
        <f>INDEX(WLR!$I:$I,MATCH(EZ$4,WLR!$A:$A,0))</f>
        <v>32.950000000000003</v>
      </c>
      <c r="FA17" s="133">
        <f>INDEX(WLR!$I:$I,MATCH(FA$4,WLR!$A:$A,0))</f>
        <v>16.21</v>
      </c>
      <c r="FB17" s="133">
        <f>INDEX(WLR!$I:$I,MATCH(FB$4,WLR!$A:$A,0))</f>
        <v>16.21</v>
      </c>
      <c r="FC17" s="133">
        <f>INDEX(WLR!$I:$I,MATCH(FC$4,WLR!$A:$A,0))</f>
        <v>0</v>
      </c>
      <c r="FD17" s="133">
        <f>INDEX(WLR!$I:$I,MATCH(FD$4,WLR!$A:$A,0))</f>
        <v>15.73</v>
      </c>
      <c r="FE17" s="133">
        <f>INDEX(WLR!$I:$I,MATCH(FE$4,WLR!$A:$A,0))</f>
        <v>0</v>
      </c>
      <c r="FF17" s="133">
        <f>INDEX(WLR!$I:$I,MATCH(FF$4,WLR!$A:$A,0))</f>
        <v>0</v>
      </c>
      <c r="FG17" s="133">
        <f>INDEX(WLR!$I:$I,MATCH(FG$4,WLR!$A:$A,0))</f>
        <v>0</v>
      </c>
      <c r="FH17" s="133">
        <f>INDEX(WLR!$I:$I,MATCH(FH$4,WLR!$A:$A,0))</f>
        <v>15.73</v>
      </c>
      <c r="FI17" s="133">
        <f>INDEX(WLR!$I:$I,MATCH(FI$4,WLR!$A:$A,0))</f>
        <v>40.06</v>
      </c>
      <c r="FJ17" s="133">
        <f>INDEX(WLR!$I:$I,MATCH(FJ$4,WLR!$A:$A,0))</f>
        <v>40.06</v>
      </c>
      <c r="FK17" s="120">
        <f>INDEX(WLR!$I:$I,MATCH(FK$4,WLR!$A:$A,0))</f>
        <v>0</v>
      </c>
      <c r="FL17" s="168">
        <f>SUMPRODUCT(X17:AV17,DN17:EL17)+V17*(1-Parameters!$B$52)</f>
        <v>5036.1899999999987</v>
      </c>
      <c r="FM17" s="213">
        <f>SUMPRODUCT(X17:AV17,EM17:FK17)/Parameters!$B$9</f>
        <v>90.984444444444435</v>
      </c>
      <c r="FN17" s="136">
        <f t="shared" si="8"/>
        <v>5127.174444444443</v>
      </c>
      <c r="FO17" s="148">
        <f>DM17*Parameters!$B$3</f>
        <v>209.54444444444445</v>
      </c>
      <c r="FP17" s="142">
        <f>IF(LEFT(G17,3)="KPN",(('Vergoedingen grondslag'!$F$11+'Vergoedingen grondslag'!$I$11+'Vergoedingen grondslag'!$L$11+'Vergoedingen grondslag'!$O$11)*DK17)+('Vergoedingen grondslag'!$O$11*DL17+'Vergoedingen grondslag'!$R$11*0+'Vergoedingen grondslag'!$U$11+'Vergoedingen grondslag'!$X$11)/36,(('Vergoedingen grondslag'!$F$20+'Vergoedingen grondslag'!$I$20+'Vergoedingen grondslag'!$L$20+'Vergoedingen grondslag'!$O$20)*DK17)+('Vergoedingen grondslag'!$O$20*DL17+'Vergoedingen grondslag'!$R$20*0+'Vergoedingen grondslag'!$U$20*0)/36)</f>
        <v>56.232901234567898</v>
      </c>
      <c r="FQ17" s="133"/>
      <c r="FR17" s="157">
        <f t="shared" si="9"/>
        <v>265.77734567901234</v>
      </c>
      <c r="FS17" s="166">
        <f t="shared" si="10"/>
        <v>5392.9517901234558</v>
      </c>
      <c r="FT17" s="168">
        <f t="shared" si="1"/>
        <v>3170.1894279320986</v>
      </c>
      <c r="FU17" s="145">
        <f t="shared" si="2"/>
        <v>0.47172318053351114</v>
      </c>
      <c r="FV17" s="120" t="b">
        <f t="shared" si="11"/>
        <v>0</v>
      </c>
      <c r="FW17" s="331" t="s">
        <v>868</v>
      </c>
    </row>
    <row r="18" spans="2:179" ht="14.4">
      <c r="B18" s="129"/>
      <c r="C18" s="120"/>
      <c r="D18" s="129" t="s">
        <v>643</v>
      </c>
      <c r="E18" s="133" t="s">
        <v>648</v>
      </c>
      <c r="F18" s="133" t="s">
        <v>466</v>
      </c>
      <c r="G18" s="133" t="s">
        <v>12</v>
      </c>
      <c r="H18" s="133" t="s">
        <v>459</v>
      </c>
      <c r="I18" s="133" t="str">
        <f t="shared" si="3"/>
        <v>TZ BelBasisISDN15VVE overstap</v>
      </c>
      <c r="J18" s="120" t="str">
        <f>D18&amp;F18&amp;G18</f>
        <v>n2*ISDN15TZ</v>
      </c>
      <c r="K18" s="205">
        <f>INDEX(Facilitietenprofielen!D:D,MATCH($J18,Facilitietenprofielen!$A:$A,0))</f>
        <v>5</v>
      </c>
      <c r="L18" s="206">
        <f>INDEX(Facilitietenprofielen!E:E,MATCH($J18,Facilitietenprofielen!$A:$A,0))</f>
        <v>5</v>
      </c>
      <c r="M18" s="206">
        <f>INDEX(Facilitietenprofielen!F:F,MATCH($J18,Facilitietenprofielen!$A:$A,0))</f>
        <v>5</v>
      </c>
      <c r="N18" s="206">
        <f>INDEX(Facilitietenprofielen!G:G,MATCH($J18,Facilitietenprofielen!$A:$A,0))</f>
        <v>5</v>
      </c>
      <c r="O18" s="206">
        <f>INDEX(Facilitietenprofielen!H:H,MATCH($J18,Facilitietenprofielen!$A:$A,0))</f>
        <v>5</v>
      </c>
      <c r="P18" s="206">
        <f>INDEX(Facilitietenprofielen!I:I,MATCH($J18,Facilitietenprofielen!$A:$A,0))</f>
        <v>5</v>
      </c>
      <c r="Q18" s="206">
        <f>INDEX(Facilitietenprofielen!J:J,MATCH($J18,Facilitietenprofielen!$A:$A,0))</f>
        <v>5</v>
      </c>
      <c r="R18" s="206">
        <f>INDEX(Facilitietenprofielen!K:K,MATCH($J18,Facilitietenprofielen!$A:$A,0))</f>
        <v>5</v>
      </c>
      <c r="S18" s="206">
        <f>INDEX(Facilitietenprofielen!L:L,MATCH($J18,Facilitietenprofielen!$A:$A,0))</f>
        <v>5</v>
      </c>
      <c r="T18" s="206">
        <f>INDEX(Facilitietenprofielen!M:M,MATCH($J18,Facilitietenprofielen!$A:$A,0))</f>
        <v>510</v>
      </c>
      <c r="U18" s="206">
        <f>INDEX(Facilitietenprofielen!N:N,MATCH($J18,Facilitietenprofielen!$A:$A,0))</f>
        <v>102</v>
      </c>
      <c r="V18" s="206">
        <f>INDEX(Facilitietenprofielen!V:V,MATCH($J18,Facilitietenprofielen!$A:$A,0))</f>
        <v>1</v>
      </c>
      <c r="W18" s="206">
        <f>INDEX(Facilitietenprofielen!W:W,MATCH($J18,Facilitietenprofielen!$A:$A,0))</f>
        <v>1</v>
      </c>
      <c r="X18" s="206">
        <f>INDEX(Facilitietenprofielen!O:O,MATCH($J18,Facilitietenprofielen!$A:$A,0))</f>
        <v>1</v>
      </c>
      <c r="Y18" s="206">
        <f>INDEX(Facilitietenprofielen!P:P,MATCH($J18,Facilitietenprofielen!$A:$A,0))</f>
        <v>1</v>
      </c>
      <c r="Z18" s="206">
        <f>INDEX(Facilitietenprofielen!Q:Q,MATCH($J18,Facilitietenprofielen!$A:$A,0))</f>
        <v>1</v>
      </c>
      <c r="AA18" s="206">
        <f>INDEX(Facilitietenprofielen!R:R,MATCH($J18,Facilitietenprofielen!$A:$A,0))</f>
        <v>1</v>
      </c>
      <c r="AB18" s="206">
        <f>INDEX(Facilitietenprofielen!S:S,MATCH($J18,Facilitietenprofielen!$A:$A,0))</f>
        <v>1</v>
      </c>
      <c r="AC18" s="206">
        <f>INDEX(Facilitietenprofielen!T:T,MATCH($J18,Facilitietenprofielen!$A:$A,0))</f>
        <v>1</v>
      </c>
      <c r="AD18" s="206">
        <f>INDEX(Facilitietenprofielen!U:U,MATCH($J18,Facilitietenprofielen!$A:$A,0))</f>
        <v>1</v>
      </c>
      <c r="AE18" s="206">
        <f>INDEX(Facilitietenprofielen!Y:Y,MATCH($J18,Facilitietenprofielen!$A:$A,0))</f>
        <v>1</v>
      </c>
      <c r="AF18" s="206">
        <f>INDEX(Facilitietenprofielen!Z:Z,MATCH($J18,Facilitietenprofielen!$A:$A,0))</f>
        <v>1</v>
      </c>
      <c r="AG18" s="206">
        <f>INDEX(Facilitietenprofielen!AA:AA,MATCH($J18,Facilitietenprofielen!$A:$A,0))</f>
        <v>1</v>
      </c>
      <c r="AH18" s="206">
        <f>INDEX(Facilitietenprofielen!AB:AB,MATCH($J18,Facilitietenprofielen!$A:$A,0))</f>
        <v>1</v>
      </c>
      <c r="AI18" s="206">
        <f>INDEX(Facilitietenprofielen!AC:AC,MATCH($J18,Facilitietenprofielen!$A:$A,0))</f>
        <v>1</v>
      </c>
      <c r="AJ18" s="206">
        <f>INDEX(Facilitietenprofielen!AD:AD,MATCH($J18,Facilitietenprofielen!$A:$A,0))</f>
        <v>1</v>
      </c>
      <c r="AK18" s="206">
        <f>INDEX(Facilitietenprofielen!AE:AE,MATCH($J18,Facilitietenprofielen!$A:$A,0))</f>
        <v>1</v>
      </c>
      <c r="AL18" s="206">
        <f>INDEX(Facilitietenprofielen!AF:AF,MATCH($J18,Facilitietenprofielen!$A:$A,0))</f>
        <v>1</v>
      </c>
      <c r="AM18" s="206">
        <f>INDEX(Facilitietenprofielen!AG:AG,MATCH($J18,Facilitietenprofielen!$A:$A,0))</f>
        <v>1</v>
      </c>
      <c r="AN18" s="206">
        <f>INDEX(Facilitietenprofielen!AH:AH,MATCH($J18,Facilitietenprofielen!$A:$A,0))</f>
        <v>1</v>
      </c>
      <c r="AO18" s="206">
        <f>INDEX(Facilitietenprofielen!AI:AI,MATCH($J18,Facilitietenprofielen!$A:$A,0))</f>
        <v>1</v>
      </c>
      <c r="AP18" s="206">
        <f>INDEX(Facilitietenprofielen!AJ:AJ,MATCH($J18,Facilitietenprofielen!$A:$A,0))</f>
        <v>1</v>
      </c>
      <c r="AQ18" s="206">
        <f>INDEX(Facilitietenprofielen!AK:AK,MATCH($J18,Facilitietenprofielen!$A:$A,0))</f>
        <v>1</v>
      </c>
      <c r="AR18" s="206">
        <f>INDEX(Facilitietenprofielen!AL:AL,MATCH($J18,Facilitietenprofielen!$A:$A,0))</f>
        <v>1</v>
      </c>
      <c r="AS18" s="206">
        <f>INDEX(Facilitietenprofielen!AM:AM,MATCH($J18,Facilitietenprofielen!$A:$A,0))</f>
        <v>1</v>
      </c>
      <c r="AT18" s="206">
        <f>INDEX(Facilitietenprofielen!AN:AN,MATCH($J18,Facilitietenprofielen!$A:$A,0))</f>
        <v>1</v>
      </c>
      <c r="AU18" s="206">
        <f>INDEX(Facilitietenprofielen!AO:AO,MATCH($J18,Facilitietenprofielen!$A:$A,0))</f>
        <v>1</v>
      </c>
      <c r="AV18" s="207">
        <f>INDEX(Facilitietenprofielen!AP:AP,MATCH($J18,Facilitietenprofielen!$A:$A,0))</f>
        <v>1</v>
      </c>
      <c r="AW18" s="206">
        <f>INDEX('Rekenblad Aansluiting'!$O:$O,MATCH($G18&amp;" "&amp;$E18&amp;BE$3&amp;$H18,'Rekenblad Aansluiting'!$A:$A,0))</f>
        <v>102.77777777777777</v>
      </c>
      <c r="AX18" s="206">
        <f>INDEX('Rekenblad Aansluiting'!$O:$O,MATCH($G18&amp;" "&amp;$E18&amp;BF$3&amp;$H18,'Rekenblad Aansluiting'!$A:$A,0))</f>
        <v>102.77777777777777</v>
      </c>
      <c r="AY18" s="206">
        <f>INDEX('Rekenblad Aansluiting'!$O:$O,MATCH($G18&amp;" "&amp;$E18&amp;BG$3&amp;$H18,'Rekenblad Aansluiting'!$A:$A,0))</f>
        <v>102.77777777777777</v>
      </c>
      <c r="AZ18" s="206">
        <f>INDEX('Rekenblad Aansluiting'!$O:$O,MATCH($G18&amp;" "&amp;$E18&amp;BH$3&amp;$H18,'Rekenblad Aansluiting'!$A:$A,0))</f>
        <v>102.77777777777777</v>
      </c>
      <c r="BA18" s="206">
        <f>INDEX('Rekenblad Aansluiting'!$O:$O,MATCH($G18&amp;" "&amp;$E18&amp;BI$3&amp;$H18,'Rekenblad Aansluiting'!$A:$A,0))</f>
        <v>102.77777777777777</v>
      </c>
      <c r="BB18" s="206">
        <f>INDEX('Rekenblad Aansluiting'!$O:$O,MATCH($G18&amp;" "&amp;$E18&amp;BJ$3&amp;$H18,'Rekenblad Aansluiting'!$A:$A,0))</f>
        <v>102.77777777777777</v>
      </c>
      <c r="BC18" s="206">
        <f>INDEX('Rekenblad Aansluiting'!$O:$O,MATCH($G18&amp;" "&amp;$E18&amp;BK$3&amp;$H18,'Rekenblad Aansluiting'!$A:$A,0))</f>
        <v>102.77777777777777</v>
      </c>
      <c r="BD18" s="206">
        <f t="shared" si="5"/>
        <v>4625</v>
      </c>
      <c r="BE18" s="212">
        <f>INDEX('Rekenblad Aansluiting'!$X:$X,MATCH($G18&amp;" "&amp;$E18&amp;BE$3&amp;$H18,'Rekenblad Aansluiting'!$A:$A,0))</f>
        <v>78.673244727777771</v>
      </c>
      <c r="BF18" s="213">
        <f>INDEX('Rekenblad Aansluiting'!$X:$X,MATCH($G18&amp;" "&amp;$E18&amp;BF$3&amp;$H18,'Rekenblad Aansluiting'!$A:$A,0))</f>
        <v>78.673244727777771</v>
      </c>
      <c r="BG18" s="213">
        <f>INDEX('Rekenblad Aansluiting'!$X:$X,MATCH($G18&amp;" "&amp;$E18&amp;BG$3&amp;$H18,'Rekenblad Aansluiting'!$A:$A,0))</f>
        <v>78.673244727777771</v>
      </c>
      <c r="BH18" s="213">
        <f>INDEX('Rekenblad Aansluiting'!$X:$X,MATCH($G18&amp;" "&amp;$E18&amp;BH$3&amp;$H18,'Rekenblad Aansluiting'!$A:$A,0))</f>
        <v>68.634321472222211</v>
      </c>
      <c r="BI18" s="213">
        <f>INDEX('Rekenblad Aansluiting'!$X:$X,MATCH($G18&amp;" "&amp;$E18&amp;BI$3&amp;$H18,'Rekenblad Aansluiting'!$A:$A,0))</f>
        <v>68.634321472222211</v>
      </c>
      <c r="BJ18" s="213">
        <f>INDEX('Rekenblad Aansluiting'!$X:$X,MATCH($G18&amp;" "&amp;$E18&amp;BJ$3&amp;$H18,'Rekenblad Aansluiting'!$A:$A,0))</f>
        <v>68.634321472222211</v>
      </c>
      <c r="BK18" s="213">
        <f>INDEX('Rekenblad Aansluiting'!$X:$X,MATCH($G18&amp;" "&amp;$E18&amp;BK$3&amp;$H18,'Rekenblad Aansluiting'!$A:$A,0))</f>
        <v>87.924166666666665</v>
      </c>
      <c r="BL18" s="223">
        <f t="shared" si="0"/>
        <v>3435.966773611111</v>
      </c>
      <c r="BM18" s="129">
        <f>IF(ISNA(INDEX('Tarieven ZM'!$G:$G,MATCH($G18&amp;BM$3,'Tarieven ZM'!$B:$B,0))),0,INDEX('Tarieven ZM'!$G:$G,MATCH($G18&amp;BM$3,'Tarieven ZM'!$B:$B,0)))</f>
        <v>100</v>
      </c>
      <c r="BN18" s="133">
        <f>IF(ISNA(INDEX('Tarieven ZM'!$G:$G,MATCH($G18&amp;BN$3,'Tarieven ZM'!$B:$B,0))),0,INDEX('Tarieven ZM'!$G:$G,MATCH($G18&amp;BN$3,'Tarieven ZM'!$B:$B,0)))</f>
        <v>100</v>
      </c>
      <c r="BO18" s="133">
        <f>IF(ISNA(INDEX('Tarieven ZM'!$G:$G,MATCH($G18&amp;BO$3,'Tarieven ZM'!$B:$B,0))),0,INDEX('Tarieven ZM'!$G:$G,MATCH($G18&amp;BO$3,'Tarieven ZM'!$B:$B,0)))</f>
        <v>100</v>
      </c>
      <c r="BP18" s="133">
        <f>IF(ISNA(INDEX('Tarieven ZM'!$G:$G,MATCH($G18&amp;BP$3,'Tarieven ZM'!$B:$B,0))),0,INDEX('Tarieven ZM'!$G:$G,MATCH($G18&amp;BP$3,'Tarieven ZM'!$B:$B,0)))</f>
        <v>100</v>
      </c>
      <c r="BQ18" s="133">
        <f>IF(ISNA(INDEX('Tarieven ZM'!$G:$G,MATCH($G18&amp;BQ$3,'Tarieven ZM'!$B:$B,0))),0,INDEX('Tarieven ZM'!$G:$G,MATCH($G18&amp;BQ$3,'Tarieven ZM'!$B:$B,0)))</f>
        <v>100</v>
      </c>
      <c r="BR18" s="133">
        <f>IF(ISNA(INDEX('Tarieven ZM'!$G:$G,MATCH($G18&amp;BR$3,'Tarieven ZM'!$B:$B,0))),0,INDEX('Tarieven ZM'!$G:$G,MATCH($G18&amp;BR$3,'Tarieven ZM'!$B:$B,0)))</f>
        <v>100</v>
      </c>
      <c r="BS18" s="133">
        <f>IF(ISNA(INDEX('Tarieven ZM'!$G:$G,MATCH($G18&amp;BS$3,'Tarieven ZM'!$B:$B,0))),0,INDEX('Tarieven ZM'!$G:$G,MATCH($G18&amp;BS$3,'Tarieven ZM'!$B:$B,0)))</f>
        <v>0</v>
      </c>
      <c r="BT18" s="133">
        <f>IF(ISNA(INDEX('Tarieven ZM'!$G:$G,MATCH($G18&amp;BT$3,'Tarieven ZM'!$B:$B,0))),0,INDEX('Tarieven ZM'!$G:$G,MATCH($G18&amp;BT$3,'Tarieven ZM'!$B:$B,0)))</f>
        <v>0</v>
      </c>
      <c r="BU18" s="133">
        <f>IF(ISNA(INDEX('Tarieven ZM'!$G:$G,MATCH($G18&amp;BU$3,'Tarieven ZM'!$B:$B,0))),0,INDEX('Tarieven ZM'!$G:$G,MATCH($G18&amp;BU$3,'Tarieven ZM'!$B:$B,0)))</f>
        <v>0</v>
      </c>
      <c r="BV18" s="133">
        <f>IF(ISNA(INDEX('Tarieven ZM'!$G:$G,MATCH($G18&amp;BV$3,'Tarieven ZM'!$B:$B,0))),0,INDEX('Tarieven ZM'!$G:$G,MATCH($G18&amp;BV$3,'Tarieven ZM'!$B:$B,0)))</f>
        <v>0</v>
      </c>
      <c r="BW18" s="133">
        <f>IF(ISNA(INDEX('Tarieven ZM'!$G:$G,MATCH($G18&amp;BW$3,'Tarieven ZM'!$B:$B,0))),0,INDEX('Tarieven ZM'!$G:$G,MATCH($G18&amp;BW$3,'Tarieven ZM'!$B:$B,0)))</f>
        <v>100</v>
      </c>
      <c r="BX18" s="133">
        <f>IF(ISNA(INDEX('Tarieven ZM'!$G:$G,MATCH($G18&amp;BX$3,'Tarieven ZM'!$B:$B,0))),0,INDEX('Tarieven ZM'!$G:$G,MATCH($G18&amp;BX$3,'Tarieven ZM'!$B:$B,0)))</f>
        <v>0</v>
      </c>
      <c r="BY18" s="133">
        <f>IF(ISNA(INDEX('Tarieven ZM'!$G:$G,MATCH($G18&amp;BY$3,'Tarieven ZM'!$B:$B,0))),0,INDEX('Tarieven ZM'!$G:$G,MATCH($G18&amp;BY$3,'Tarieven ZM'!$B:$B,0)))</f>
        <v>0</v>
      </c>
      <c r="BZ18" s="133">
        <f>IF(ISNA(INDEX('Tarieven ZM'!$G:$G,MATCH($G18&amp;BZ$3,'Tarieven ZM'!$B:$B,0))),0,INDEX('Tarieven ZM'!$G:$G,MATCH($G18&amp;BZ$3,'Tarieven ZM'!$B:$B,0)))</f>
        <v>100</v>
      </c>
      <c r="CA18" s="133">
        <f>IF(ISNA(INDEX('Tarieven ZM'!$G:$G,MATCH($G18&amp;CA$3,'Tarieven ZM'!$B:$B,0))),0,INDEX('Tarieven ZM'!$G:$G,MATCH($G18&amp;CA$3,'Tarieven ZM'!$B:$B,0)))</f>
        <v>100</v>
      </c>
      <c r="CB18" s="133">
        <f>IF(ISNA(INDEX('Tarieven ZM'!$G:$G,MATCH($G18&amp;CB$3,'Tarieven ZM'!$B:$B,0))),0,INDEX('Tarieven ZM'!$G:$G,MATCH($G18&amp;CB$3,'Tarieven ZM'!$B:$B,0)))</f>
        <v>100</v>
      </c>
      <c r="CC18" s="133">
        <f>IF(ISNA(INDEX('Tarieven ZM'!$G:$G,MATCH($G18&amp;CC$3,'Tarieven ZM'!$B:$B,0))),0,INDEX('Tarieven ZM'!$G:$G,MATCH($G18&amp;CC$3,'Tarieven ZM'!$B:$B,0)))</f>
        <v>100</v>
      </c>
      <c r="CD18" s="133">
        <f>IF(ISNA(INDEX('Tarieven ZM'!$G:$G,MATCH($G18&amp;CD$3,'Tarieven ZM'!$B:$B,0))),0,INDEX('Tarieven ZM'!$G:$G,MATCH($G18&amp;CD$3,'Tarieven ZM'!$B:$B,0)))</f>
        <v>100</v>
      </c>
      <c r="CE18" s="133">
        <f>IF(ISNA(INDEX('Tarieven ZM'!$G:$G,MATCH($G18&amp;CE$3,'Tarieven ZM'!$B:$B,0))),0,INDEX('Tarieven ZM'!$G:$G,MATCH($G18&amp;CE$3,'Tarieven ZM'!$B:$B,0)))</f>
        <v>0</v>
      </c>
      <c r="CF18" s="133">
        <f>IF(ISNA(INDEX('Tarieven ZM'!$G:$G,MATCH($G18&amp;CF$3,'Tarieven ZM'!$B:$B,0))),0,INDEX('Tarieven ZM'!$G:$G,MATCH($G18&amp;CF$3,'Tarieven ZM'!$B:$B,0)))</f>
        <v>100</v>
      </c>
      <c r="CG18" s="133">
        <f>IF(ISNA(INDEX('Tarieven ZM'!$G:$G,MATCH($G18&amp;CG$3,'Tarieven ZM'!$B:$B,0))),0,INDEX('Tarieven ZM'!$G:$G,MATCH($G18&amp;CG$3,'Tarieven ZM'!$B:$B,0)))</f>
        <v>100</v>
      </c>
      <c r="CH18" s="133">
        <f>IF(ISNA(INDEX('Tarieven ZM'!$G:$G,MATCH($G18&amp;CH$3,'Tarieven ZM'!$B:$B,0))),0,INDEX('Tarieven ZM'!$G:$G,MATCH($G18&amp;CH$3,'Tarieven ZM'!$B:$B,0)))</f>
        <v>0</v>
      </c>
      <c r="CI18" s="133">
        <f>IF(ISNA(INDEX('Tarieven ZM'!$G:$G,MATCH($G18&amp;CI$3,'Tarieven ZM'!$B:$B,0))),0,INDEX('Tarieven ZM'!$G:$G,MATCH($G18&amp;CI$3,'Tarieven ZM'!$B:$B,0)))</f>
        <v>0</v>
      </c>
      <c r="CJ18" s="133">
        <f>IF(ISNA(INDEX('Tarieven ZM'!$G:$G,MATCH($G18&amp;CJ$3,'Tarieven ZM'!$B:$B,0))),0,INDEX('Tarieven ZM'!$G:$G,MATCH($G18&amp;CJ$3,'Tarieven ZM'!$B:$B,0)))</f>
        <v>0</v>
      </c>
      <c r="CK18" s="120">
        <f>IF(ISNA(INDEX('Tarieven ZM'!$G:$G,MATCH($G18&amp;CK$3,'Tarieven ZM'!$B:$B,0))),0,INDEX('Tarieven ZM'!$G:$G,MATCH($G18&amp;CK$3,'Tarieven ZM'!$B:$B,0)))</f>
        <v>0</v>
      </c>
      <c r="CL18" s="129">
        <f>IF(ISNA(INDEX('Tarieven ZM'!$H:$H,MATCH($G18&amp;CL$3,'Tarieven ZM'!$B:$B,0))),0,INDEX('Tarieven ZM'!$H:$H,MATCH($G18&amp;CL$3,'Tarieven ZM'!$B:$B,0)))</f>
        <v>1000</v>
      </c>
      <c r="CM18" s="133">
        <f>IF(ISNA(INDEX('Tarieven ZM'!$H:$H,MATCH($G18&amp;CM$3,'Tarieven ZM'!$B:$B,0))),0,INDEX('Tarieven ZM'!$H:$H,MATCH($G18&amp;CM$3,'Tarieven ZM'!$B:$B,0)))</f>
        <v>1000</v>
      </c>
      <c r="CN18" s="133">
        <f>IF(ISNA(INDEX('Tarieven ZM'!$H:$H,MATCH($G18&amp;CN$3,'Tarieven ZM'!$B:$B,0))),0,INDEX('Tarieven ZM'!$H:$H,MATCH($G18&amp;CN$3,'Tarieven ZM'!$B:$B,0)))</f>
        <v>1000</v>
      </c>
      <c r="CO18" s="133">
        <f>IF(ISNA(INDEX('Tarieven ZM'!$H:$H,MATCH($G18&amp;CO$3,'Tarieven ZM'!$B:$B,0))),0,INDEX('Tarieven ZM'!$H:$H,MATCH($G18&amp;CO$3,'Tarieven ZM'!$B:$B,0)))</f>
        <v>1000</v>
      </c>
      <c r="CP18" s="133">
        <f>IF(ISNA(INDEX('Tarieven ZM'!$H:$H,MATCH($G18&amp;CP$3,'Tarieven ZM'!$B:$B,0))),0,INDEX('Tarieven ZM'!$H:$H,MATCH($G18&amp;CP$3,'Tarieven ZM'!$B:$B,0)))</f>
        <v>1000</v>
      </c>
      <c r="CQ18" s="133">
        <f>IF(ISNA(INDEX('Tarieven ZM'!$H:$H,MATCH($G18&amp;CQ$3,'Tarieven ZM'!$B:$B,0))),0,INDEX('Tarieven ZM'!$H:$H,MATCH($G18&amp;CQ$3,'Tarieven ZM'!$B:$B,0)))</f>
        <v>1000</v>
      </c>
      <c r="CR18" s="133">
        <f>IF(ISNA(INDEX('Tarieven ZM'!$H:$H,MATCH($G18&amp;CR$3,'Tarieven ZM'!$B:$B,0))),0,INDEX('Tarieven ZM'!$H:$H,MATCH($G18&amp;CR$3,'Tarieven ZM'!$B:$B,0)))</f>
        <v>1000</v>
      </c>
      <c r="CS18" s="133">
        <f>IF(ISNA(INDEX('Tarieven ZM'!$H:$H,MATCH($G18&amp;CS$3,'Tarieven ZM'!$B:$B,0))),0,INDEX('Tarieven ZM'!$H:$H,MATCH($G18&amp;CS$3,'Tarieven ZM'!$B:$B,0)))</f>
        <v>1000</v>
      </c>
      <c r="CT18" s="133">
        <f>IF(ISNA(INDEX('Tarieven ZM'!$H:$H,MATCH($G18&amp;CT$3,'Tarieven ZM'!$B:$B,0))),0,INDEX('Tarieven ZM'!$H:$H,MATCH($G18&amp;CT$3,'Tarieven ZM'!$B:$B,0)))</f>
        <v>1000</v>
      </c>
      <c r="CU18" s="133">
        <f>IF(ISNA(INDEX('Tarieven ZM'!$H:$H,MATCH($G18&amp;CU$3,'Tarieven ZM'!$B:$B,0))),0,INDEX('Tarieven ZM'!$H:$H,MATCH($G18&amp;CU$3,'Tarieven ZM'!$B:$B,0)))</f>
        <v>1000</v>
      </c>
      <c r="CV18" s="133">
        <f>IF(ISNA(INDEX('Tarieven ZM'!$H:$H,MATCH($G18&amp;CV$3,'Tarieven ZM'!$B:$B,0))),0,INDEX('Tarieven ZM'!$H:$H,MATCH($G18&amp;CV$3,'Tarieven ZM'!$B:$B,0)))</f>
        <v>1000</v>
      </c>
      <c r="CW18" s="133">
        <f>IF(ISNA(INDEX('Tarieven ZM'!$H:$H,MATCH($G18&amp;CW$3,'Tarieven ZM'!$B:$B,0))),0,INDEX('Tarieven ZM'!$H:$H,MATCH($G18&amp;CW$3,'Tarieven ZM'!$B:$B,0)))</f>
        <v>1000</v>
      </c>
      <c r="CX18" s="133">
        <f>IF(ISNA(INDEX('Tarieven ZM'!$H:$H,MATCH($G18&amp;CX$3,'Tarieven ZM'!$B:$B,0))),0,INDEX('Tarieven ZM'!$H:$H,MATCH($G18&amp;CX$3,'Tarieven ZM'!$B:$B,0)))</f>
        <v>1000</v>
      </c>
      <c r="CY18" s="133">
        <f>IF(ISNA(INDEX('Tarieven ZM'!$H:$H,MATCH($G18&amp;CY$3,'Tarieven ZM'!$B:$B,0))),0,INDEX('Tarieven ZM'!$H:$H,MATCH($G18&amp;CY$3,'Tarieven ZM'!$B:$B,0)))</f>
        <v>1000</v>
      </c>
      <c r="CZ18" s="133">
        <f>IF(ISNA(INDEX('Tarieven ZM'!$H:$H,MATCH($G18&amp;CZ$3,'Tarieven ZM'!$B:$B,0))),0,INDEX('Tarieven ZM'!$H:$H,MATCH($G18&amp;CZ$3,'Tarieven ZM'!$B:$B,0)))</f>
        <v>1000</v>
      </c>
      <c r="DA18" s="133">
        <f>IF(ISNA(INDEX('Tarieven ZM'!$H:$H,MATCH($G18&amp;DA$3,'Tarieven ZM'!$B:$B,0))),0,INDEX('Tarieven ZM'!$H:$H,MATCH($G18&amp;DA$3,'Tarieven ZM'!$B:$B,0)))</f>
        <v>1000</v>
      </c>
      <c r="DB18" s="133">
        <f>IF(ISNA(INDEX('Tarieven ZM'!$H:$H,MATCH($G18&amp;DB$3,'Tarieven ZM'!$B:$B,0))),0,INDEX('Tarieven ZM'!$H:$H,MATCH($G18&amp;DB$3,'Tarieven ZM'!$B:$B,0)))</f>
        <v>1000</v>
      </c>
      <c r="DC18" s="133">
        <f>IF(ISNA(INDEX('Tarieven ZM'!$H:$H,MATCH($G18&amp;DC$3,'Tarieven ZM'!$B:$B,0))),0,INDEX('Tarieven ZM'!$H:$H,MATCH($G18&amp;DC$3,'Tarieven ZM'!$B:$B,0)))</f>
        <v>1000</v>
      </c>
      <c r="DD18" s="133">
        <f>IF(ISNA(INDEX('Tarieven ZM'!$H:$H,MATCH($G18&amp;DD$3,'Tarieven ZM'!$B:$B,0))),0,INDEX('Tarieven ZM'!$H:$H,MATCH($G18&amp;DD$3,'Tarieven ZM'!$B:$B,0)))</f>
        <v>1000</v>
      </c>
      <c r="DE18" s="133">
        <f>IF(ISNA(INDEX('Tarieven ZM'!$H:$H,MATCH($G18&amp;DE$3,'Tarieven ZM'!$B:$B,0))),0,INDEX('Tarieven ZM'!$H:$H,MATCH($G18&amp;DE$3,'Tarieven ZM'!$B:$B,0)))</f>
        <v>1000</v>
      </c>
      <c r="DF18" s="133">
        <f>IF(ISNA(INDEX('Tarieven ZM'!$H:$H,MATCH($G18&amp;DF$3,'Tarieven ZM'!$B:$B,0))),0,INDEX('Tarieven ZM'!$H:$H,MATCH($G18&amp;DF$3,'Tarieven ZM'!$B:$B,0)))</f>
        <v>1000</v>
      </c>
      <c r="DG18" s="133">
        <f>IF(ISNA(INDEX('Tarieven ZM'!$H:$H,MATCH($G18&amp;DG$3,'Tarieven ZM'!$B:$B,0))),0,INDEX('Tarieven ZM'!$H:$H,MATCH($G18&amp;DG$3,'Tarieven ZM'!$B:$B,0)))</f>
        <v>1000</v>
      </c>
      <c r="DH18" s="133">
        <f>IF(ISNA(INDEX('Tarieven ZM'!$H:$H,MATCH($G18&amp;DH$3,'Tarieven ZM'!$B:$B,0))),0,INDEX('Tarieven ZM'!$H:$H,MATCH($G18&amp;DH$3,'Tarieven ZM'!$B:$B,0)))</f>
        <v>1000</v>
      </c>
      <c r="DI18" s="133">
        <f>IF(ISNA(INDEX('Tarieven ZM'!$H:$H,MATCH($G18&amp;DI$3,'Tarieven ZM'!$B:$B,0))),0,INDEX('Tarieven ZM'!$H:$H,MATCH($G18&amp;DI$3,'Tarieven ZM'!$B:$B,0)))</f>
        <v>1000</v>
      </c>
      <c r="DJ18" s="120">
        <f>IF(ISNA(INDEX('Tarieven ZM'!$H:$H,MATCH($G18&amp;DJ$3,'Tarieven ZM'!$B:$B,0))),0,INDEX('Tarieven ZM'!$H:$H,MATCH($G18&amp;DJ$3,'Tarieven ZM'!$B:$B,0)))</f>
        <v>1000</v>
      </c>
      <c r="DK18" s="212">
        <f t="shared" si="6"/>
        <v>1401</v>
      </c>
      <c r="DL18" s="142">
        <f>SUMPRODUCT($X18:$AV18,CL18:DJ18)/Parameters!$B$9</f>
        <v>694.44444444444446</v>
      </c>
      <c r="DM18" s="157">
        <f t="shared" si="7"/>
        <v>2095.4444444444443</v>
      </c>
      <c r="DN18" s="129">
        <f>INDEX(WLR!$J:$J,MATCH(DN$4,WLR!$A:$A,0))</f>
        <v>10.39</v>
      </c>
      <c r="DO18" s="133">
        <f>INDEX(WLR!$J:$J,MATCH(DO$4,WLR!$A:$A,0))</f>
        <v>10.39</v>
      </c>
      <c r="DP18" s="133">
        <f>INDEX(WLR!$J:$J,MATCH(DP$4,WLR!$A:$A,0))</f>
        <v>62.94</v>
      </c>
      <c r="DQ18" s="133">
        <f>INDEX(WLR!$J:$J,MATCH(DQ$4,WLR!$A:$A,0))</f>
        <v>62.94</v>
      </c>
      <c r="DR18" s="133">
        <f>INDEX(WLR!$J:$J,MATCH(DR$4,WLR!$A:$A,0))</f>
        <v>494.44</v>
      </c>
      <c r="DS18" s="133">
        <f>INDEX(WLR!$J:$J,MATCH(DS$4,WLR!$A:$A,0))</f>
        <v>494.44</v>
      </c>
      <c r="DT18" s="133">
        <f>INDEX(WLR!$J:$J,MATCH(DT$4,WLR!$A:$A,0))</f>
        <v>3510.28</v>
      </c>
      <c r="DU18" s="133">
        <f>INDEX(WLR!$J:$J,MATCH(DU$4,WLR!$A:$A,0))</f>
        <v>1.19</v>
      </c>
      <c r="DV18" s="133">
        <f>INDEX(WLR!$J:$J,MATCH(DV$4,WLR!$A:$A,0))</f>
        <v>29.43</v>
      </c>
      <c r="DW18" s="133">
        <f>INDEX(WLR!$J:$J,MATCH(DW$4,WLR!$A:$A,0))</f>
        <v>192.45</v>
      </c>
      <c r="DX18" s="133">
        <f>INDEX(WLR!$J:$J,MATCH(DX$4,WLR!$A:$A,0))</f>
        <v>9.8000000000000007</v>
      </c>
      <c r="DY18" s="133">
        <f>INDEX(WLR!$J:$J,MATCH(DY$4,WLR!$A:$A,0))</f>
        <v>34.950000000000003</v>
      </c>
      <c r="DZ18" s="133">
        <f>INDEX(WLR!$J:$J,MATCH(DZ$4,WLR!$A:$A,0))</f>
        <v>34.950000000000003</v>
      </c>
      <c r="EA18" s="133">
        <f>INDEX(WLR!$J:$J,MATCH(EA$4,WLR!$A:$A,0))</f>
        <v>2.08</v>
      </c>
      <c r="EB18" s="133">
        <f>INDEX(WLR!$J:$J,MATCH(EB$4,WLR!$A:$A,0))</f>
        <v>1.97</v>
      </c>
      <c r="EC18" s="133">
        <f>INDEX(WLR!$J:$J,MATCH(EC$4,WLR!$A:$A,0))</f>
        <v>1.97</v>
      </c>
      <c r="ED18" s="133">
        <f>INDEX(WLR!$J:$J,MATCH(ED$4,WLR!$A:$A,0))</f>
        <v>0</v>
      </c>
      <c r="EE18" s="133">
        <f>INDEX(WLR!$J:$J,MATCH(EE$4,WLR!$A:$A,0))</f>
        <v>0</v>
      </c>
      <c r="EF18" s="133">
        <f>INDEX(WLR!$J:$J,MATCH(EF$4,WLR!$A:$A,0))</f>
        <v>0.96</v>
      </c>
      <c r="EG18" s="133">
        <f>INDEX(WLR!$J:$J,MATCH(EG$4,WLR!$A:$A,0))</f>
        <v>4.53</v>
      </c>
      <c r="EH18" s="133">
        <f>INDEX(WLR!$J:$J,MATCH(EH$4,WLR!$A:$A,0))</f>
        <v>4.53</v>
      </c>
      <c r="EI18" s="133">
        <f>INDEX(WLR!$J:$J,MATCH(EI$4,WLR!$A:$A,0))</f>
        <v>7.58</v>
      </c>
      <c r="EJ18" s="133">
        <f>INDEX(WLR!$J:$J,MATCH(EJ$4,WLR!$A:$A,0))</f>
        <v>31.11</v>
      </c>
      <c r="EK18" s="133">
        <f>INDEX(WLR!$J:$J,MATCH(EK$4,WLR!$A:$A,0))</f>
        <v>31.11</v>
      </c>
      <c r="EL18" s="120">
        <f>INDEX(WLR!$J:$J,MATCH(EL$4,WLR!$A:$A,0))</f>
        <v>0.96</v>
      </c>
      <c r="EM18" s="129">
        <f>INDEX(WLR!$I:$I,MATCH(EM$4,WLR!$A:$A,0))</f>
        <v>0</v>
      </c>
      <c r="EN18" s="133">
        <f>INDEX(WLR!$I:$I,MATCH(EN$4,WLR!$A:$A,0))</f>
        <v>16.21</v>
      </c>
      <c r="EO18" s="133">
        <f>INDEX(WLR!$I:$I,MATCH(EO$4,WLR!$A:$A,0))</f>
        <v>0</v>
      </c>
      <c r="EP18" s="133">
        <f>INDEX(WLR!$I:$I,MATCH(EP$4,WLR!$A:$A,0))</f>
        <v>16.21</v>
      </c>
      <c r="EQ18" s="133">
        <f>INDEX(WLR!$I:$I,MATCH(EQ$4,WLR!$A:$A,0))</f>
        <v>0</v>
      </c>
      <c r="ER18" s="133">
        <f>INDEX(WLR!$I:$I,MATCH(ER$4,WLR!$A:$A,0))</f>
        <v>16.21</v>
      </c>
      <c r="ES18" s="133">
        <f>INDEX(WLR!$I:$I,MATCH(ES$4,WLR!$A:$A,0))</f>
        <v>0</v>
      </c>
      <c r="ET18" s="133">
        <f>INDEX(WLR!$I:$I,MATCH(ET$4,WLR!$A:$A,0))</f>
        <v>82.82</v>
      </c>
      <c r="EU18" s="133">
        <f>INDEX(WLR!$I:$I,MATCH(EU$4,WLR!$A:$A,0))</f>
        <v>748.42</v>
      </c>
      <c r="EV18" s="133">
        <f>INDEX(WLR!$I:$I,MATCH(EV$4,WLR!$A:$A,0))</f>
        <v>1282.99</v>
      </c>
      <c r="EW18" s="133">
        <f>INDEX(WLR!$I:$I,MATCH(EW$4,WLR!$A:$A,0))</f>
        <v>16.21</v>
      </c>
      <c r="EX18" s="133">
        <f>INDEX(WLR!$I:$I,MATCH(EX$4,WLR!$A:$A,0))</f>
        <v>79.94</v>
      </c>
      <c r="EY18" s="133">
        <f>INDEX(WLR!$I:$I,MATCH(EY$4,WLR!$A:$A,0))</f>
        <v>839.48</v>
      </c>
      <c r="EZ18" s="133">
        <f>INDEX(WLR!$I:$I,MATCH(EZ$4,WLR!$A:$A,0))</f>
        <v>32.950000000000003</v>
      </c>
      <c r="FA18" s="133">
        <f>INDEX(WLR!$I:$I,MATCH(FA$4,WLR!$A:$A,0))</f>
        <v>16.21</v>
      </c>
      <c r="FB18" s="133">
        <f>INDEX(WLR!$I:$I,MATCH(FB$4,WLR!$A:$A,0))</f>
        <v>16.21</v>
      </c>
      <c r="FC18" s="133">
        <f>INDEX(WLR!$I:$I,MATCH(FC$4,WLR!$A:$A,0))</f>
        <v>0</v>
      </c>
      <c r="FD18" s="133">
        <f>INDEX(WLR!$I:$I,MATCH(FD$4,WLR!$A:$A,0))</f>
        <v>15.73</v>
      </c>
      <c r="FE18" s="133">
        <f>INDEX(WLR!$I:$I,MATCH(FE$4,WLR!$A:$A,0))</f>
        <v>0</v>
      </c>
      <c r="FF18" s="133">
        <f>INDEX(WLR!$I:$I,MATCH(FF$4,WLR!$A:$A,0))</f>
        <v>0</v>
      </c>
      <c r="FG18" s="133">
        <f>INDEX(WLR!$I:$I,MATCH(FG$4,WLR!$A:$A,0))</f>
        <v>0</v>
      </c>
      <c r="FH18" s="133">
        <f>INDEX(WLR!$I:$I,MATCH(FH$4,WLR!$A:$A,0))</f>
        <v>15.73</v>
      </c>
      <c r="FI18" s="133">
        <f>INDEX(WLR!$I:$I,MATCH(FI$4,WLR!$A:$A,0))</f>
        <v>40.06</v>
      </c>
      <c r="FJ18" s="133">
        <f>INDEX(WLR!$I:$I,MATCH(FJ$4,WLR!$A:$A,0))</f>
        <v>40.06</v>
      </c>
      <c r="FK18" s="120">
        <f>INDEX(WLR!$I:$I,MATCH(FK$4,WLR!$A:$A,0))</f>
        <v>0</v>
      </c>
      <c r="FL18" s="168">
        <f>SUMPRODUCT(X18:AV18,DN18:EL18)+V18*(1-Parameters!$B$52)</f>
        <v>5036.1899999999987</v>
      </c>
      <c r="FM18" s="213">
        <f>SUMPRODUCT(X18:AV18,EM18:FK18)/Parameters!$B$9</f>
        <v>90.984444444444435</v>
      </c>
      <c r="FN18" s="136">
        <f t="shared" si="8"/>
        <v>5127.174444444443</v>
      </c>
      <c r="FO18" s="148">
        <f>DM18*Parameters!$B$3</f>
        <v>209.54444444444445</v>
      </c>
      <c r="FP18" s="142">
        <f>IF(LEFT(G18,3)="KPN",(('Vergoedingen grondslag'!$F$11+'Vergoedingen grondslag'!$I$11+'Vergoedingen grondslag'!$L$11+'Vergoedingen grondslag'!$O$11)*DK18)+('Vergoedingen grondslag'!$O$11*DL18+'Vergoedingen grondslag'!$R$11*0+'Vergoedingen grondslag'!$U$11+'Vergoedingen grondslag'!$X$11)/36,(('Vergoedingen grondslag'!$F$20+'Vergoedingen grondslag'!$I$20+'Vergoedingen grondslag'!$L$20+'Vergoedingen grondslag'!$O$20)*DK18)+('Vergoedingen grondslag'!$O$20*DL18+'Vergoedingen grondslag'!$R$20*0+'Vergoedingen grondslag'!$U$20*0)/36)</f>
        <v>56.232901234567898</v>
      </c>
      <c r="FQ18" s="133"/>
      <c r="FR18" s="157">
        <f t="shared" si="9"/>
        <v>265.77734567901234</v>
      </c>
      <c r="FS18" s="166">
        <f t="shared" si="10"/>
        <v>5392.9517901234558</v>
      </c>
      <c r="FT18" s="168">
        <f t="shared" si="1"/>
        <v>3170.1894279320986</v>
      </c>
      <c r="FU18" s="145">
        <f t="shared" si="2"/>
        <v>0.47172318053351114</v>
      </c>
      <c r="FV18" s="120" t="b">
        <f t="shared" si="11"/>
        <v>0</v>
      </c>
      <c r="FW18" s="331" t="s">
        <v>868</v>
      </c>
    </row>
    <row r="19" spans="2:179" ht="14.4">
      <c r="B19" s="129"/>
      <c r="C19" s="120"/>
      <c r="D19" s="129" t="s">
        <v>644</v>
      </c>
      <c r="E19" s="133" t="s">
        <v>648</v>
      </c>
      <c r="F19" s="133" t="s">
        <v>468</v>
      </c>
      <c r="G19" s="133" t="s">
        <v>12</v>
      </c>
      <c r="H19" s="133" t="s">
        <v>459</v>
      </c>
      <c r="I19" s="133" t="str">
        <f t="shared" si="3"/>
        <v>TZ BelBasisISDN20VVE overstap</v>
      </c>
      <c r="J19" s="120" t="str">
        <f>D19&amp;F19&amp;G19</f>
        <v>n3*ISDN20TZ</v>
      </c>
      <c r="K19" s="205">
        <f>INDEX(Facilitietenprofielen!D:D,MATCH($J19,Facilitietenprofielen!$A:$A,0))</f>
        <v>5</v>
      </c>
      <c r="L19" s="206">
        <f>INDEX(Facilitietenprofielen!E:E,MATCH($J19,Facilitietenprofielen!$A:$A,0))</f>
        <v>5</v>
      </c>
      <c r="M19" s="206">
        <f>INDEX(Facilitietenprofielen!F:F,MATCH($J19,Facilitietenprofielen!$A:$A,0))</f>
        <v>5</v>
      </c>
      <c r="N19" s="206">
        <f>INDEX(Facilitietenprofielen!G:G,MATCH($J19,Facilitietenprofielen!$A:$A,0))</f>
        <v>5</v>
      </c>
      <c r="O19" s="206">
        <f>INDEX(Facilitietenprofielen!H:H,MATCH($J19,Facilitietenprofielen!$A:$A,0))</f>
        <v>5</v>
      </c>
      <c r="P19" s="206">
        <f>INDEX(Facilitietenprofielen!I:I,MATCH($J19,Facilitietenprofielen!$A:$A,0))</f>
        <v>5</v>
      </c>
      <c r="Q19" s="206">
        <f>INDEX(Facilitietenprofielen!J:J,MATCH($J19,Facilitietenprofielen!$A:$A,0))</f>
        <v>5</v>
      </c>
      <c r="R19" s="206">
        <f>INDEX(Facilitietenprofielen!K:K,MATCH($J19,Facilitietenprofielen!$A:$A,0))</f>
        <v>5</v>
      </c>
      <c r="S19" s="206">
        <f>INDEX(Facilitietenprofielen!L:L,MATCH($J19,Facilitietenprofielen!$A:$A,0))</f>
        <v>5</v>
      </c>
      <c r="T19" s="206">
        <f>INDEX(Facilitietenprofielen!M:M,MATCH($J19,Facilitietenprofielen!$A:$A,0))</f>
        <v>510</v>
      </c>
      <c r="U19" s="206">
        <f>INDEX(Facilitietenprofielen!N:N,MATCH($J19,Facilitietenprofielen!$A:$A,0))</f>
        <v>102</v>
      </c>
      <c r="V19" s="206">
        <f>INDEX(Facilitietenprofielen!V:V,MATCH($J19,Facilitietenprofielen!$A:$A,0))</f>
        <v>1</v>
      </c>
      <c r="W19" s="206">
        <f>INDEX(Facilitietenprofielen!W:W,MATCH($J19,Facilitietenprofielen!$A:$A,0))</f>
        <v>1</v>
      </c>
      <c r="X19" s="206">
        <f>INDEX(Facilitietenprofielen!O:O,MATCH($J19,Facilitietenprofielen!$A:$A,0))</f>
        <v>1</v>
      </c>
      <c r="Y19" s="206">
        <f>INDEX(Facilitietenprofielen!P:P,MATCH($J19,Facilitietenprofielen!$A:$A,0))</f>
        <v>1</v>
      </c>
      <c r="Z19" s="206">
        <f>INDEX(Facilitietenprofielen!Q:Q,MATCH($J19,Facilitietenprofielen!$A:$A,0))</f>
        <v>1</v>
      </c>
      <c r="AA19" s="206">
        <f>INDEX(Facilitietenprofielen!R:R,MATCH($J19,Facilitietenprofielen!$A:$A,0))</f>
        <v>1</v>
      </c>
      <c r="AB19" s="206">
        <f>INDEX(Facilitietenprofielen!S:S,MATCH($J19,Facilitietenprofielen!$A:$A,0))</f>
        <v>1</v>
      </c>
      <c r="AC19" s="206">
        <f>INDEX(Facilitietenprofielen!T:T,MATCH($J19,Facilitietenprofielen!$A:$A,0))</f>
        <v>1</v>
      </c>
      <c r="AD19" s="206">
        <f>INDEX(Facilitietenprofielen!U:U,MATCH($J19,Facilitietenprofielen!$A:$A,0))</f>
        <v>1</v>
      </c>
      <c r="AE19" s="206">
        <f>INDEX(Facilitietenprofielen!Y:Y,MATCH($J19,Facilitietenprofielen!$A:$A,0))</f>
        <v>1</v>
      </c>
      <c r="AF19" s="206">
        <f>INDEX(Facilitietenprofielen!Z:Z,MATCH($J19,Facilitietenprofielen!$A:$A,0))</f>
        <v>1</v>
      </c>
      <c r="AG19" s="206">
        <f>INDEX(Facilitietenprofielen!AA:AA,MATCH($J19,Facilitietenprofielen!$A:$A,0))</f>
        <v>1</v>
      </c>
      <c r="AH19" s="206">
        <f>INDEX(Facilitietenprofielen!AB:AB,MATCH($J19,Facilitietenprofielen!$A:$A,0))</f>
        <v>1</v>
      </c>
      <c r="AI19" s="206">
        <f>INDEX(Facilitietenprofielen!AC:AC,MATCH($J19,Facilitietenprofielen!$A:$A,0))</f>
        <v>1</v>
      </c>
      <c r="AJ19" s="206">
        <f>INDEX(Facilitietenprofielen!AD:AD,MATCH($J19,Facilitietenprofielen!$A:$A,0))</f>
        <v>1</v>
      </c>
      <c r="AK19" s="206">
        <f>INDEX(Facilitietenprofielen!AE:AE,MATCH($J19,Facilitietenprofielen!$A:$A,0))</f>
        <v>1</v>
      </c>
      <c r="AL19" s="206">
        <f>INDEX(Facilitietenprofielen!AF:AF,MATCH($J19,Facilitietenprofielen!$A:$A,0))</f>
        <v>1</v>
      </c>
      <c r="AM19" s="206">
        <f>INDEX(Facilitietenprofielen!AG:AG,MATCH($J19,Facilitietenprofielen!$A:$A,0))</f>
        <v>1</v>
      </c>
      <c r="AN19" s="206">
        <f>INDEX(Facilitietenprofielen!AH:AH,MATCH($J19,Facilitietenprofielen!$A:$A,0))</f>
        <v>1</v>
      </c>
      <c r="AO19" s="206">
        <f>INDEX(Facilitietenprofielen!AI:AI,MATCH($J19,Facilitietenprofielen!$A:$A,0))</f>
        <v>1</v>
      </c>
      <c r="AP19" s="206">
        <f>INDEX(Facilitietenprofielen!AJ:AJ,MATCH($J19,Facilitietenprofielen!$A:$A,0))</f>
        <v>1</v>
      </c>
      <c r="AQ19" s="206">
        <f>INDEX(Facilitietenprofielen!AK:AK,MATCH($J19,Facilitietenprofielen!$A:$A,0))</f>
        <v>1</v>
      </c>
      <c r="AR19" s="206">
        <f>INDEX(Facilitietenprofielen!AL:AL,MATCH($J19,Facilitietenprofielen!$A:$A,0))</f>
        <v>1</v>
      </c>
      <c r="AS19" s="206">
        <f>INDEX(Facilitietenprofielen!AM:AM,MATCH($J19,Facilitietenprofielen!$A:$A,0))</f>
        <v>1</v>
      </c>
      <c r="AT19" s="206">
        <f>INDEX(Facilitietenprofielen!AN:AN,MATCH($J19,Facilitietenprofielen!$A:$A,0))</f>
        <v>1</v>
      </c>
      <c r="AU19" s="206">
        <f>INDEX(Facilitietenprofielen!AO:AO,MATCH($J19,Facilitietenprofielen!$A:$A,0))</f>
        <v>1</v>
      </c>
      <c r="AV19" s="207">
        <f>INDEX(Facilitietenprofielen!AP:AP,MATCH($J19,Facilitietenprofielen!$A:$A,0))</f>
        <v>1</v>
      </c>
      <c r="AW19" s="206">
        <f>INDEX('Rekenblad Aansluiting'!$O:$O,MATCH($G19&amp;" "&amp;$E19&amp;BE$3&amp;$H19,'Rekenblad Aansluiting'!$A:$A,0))</f>
        <v>102.77777777777777</v>
      </c>
      <c r="AX19" s="206">
        <f>INDEX('Rekenblad Aansluiting'!$O:$O,MATCH($G19&amp;" "&amp;$E19&amp;BF$3&amp;$H19,'Rekenblad Aansluiting'!$A:$A,0))</f>
        <v>102.77777777777777</v>
      </c>
      <c r="AY19" s="206">
        <f>INDEX('Rekenblad Aansluiting'!$O:$O,MATCH($G19&amp;" "&amp;$E19&amp;BG$3&amp;$H19,'Rekenblad Aansluiting'!$A:$A,0))</f>
        <v>102.77777777777777</v>
      </c>
      <c r="AZ19" s="206">
        <f>INDEX('Rekenblad Aansluiting'!$O:$O,MATCH($G19&amp;" "&amp;$E19&amp;BH$3&amp;$H19,'Rekenblad Aansluiting'!$A:$A,0))</f>
        <v>102.77777777777777</v>
      </c>
      <c r="BA19" s="206">
        <f>INDEX('Rekenblad Aansluiting'!$O:$O,MATCH($G19&amp;" "&amp;$E19&amp;BI$3&amp;$H19,'Rekenblad Aansluiting'!$A:$A,0))</f>
        <v>102.77777777777777</v>
      </c>
      <c r="BB19" s="206">
        <f>INDEX('Rekenblad Aansluiting'!$O:$O,MATCH($G19&amp;" "&amp;$E19&amp;BJ$3&amp;$H19,'Rekenblad Aansluiting'!$A:$A,0))</f>
        <v>102.77777777777777</v>
      </c>
      <c r="BC19" s="206">
        <f>INDEX('Rekenblad Aansluiting'!$O:$O,MATCH($G19&amp;" "&amp;$E19&amp;BK$3&amp;$H19,'Rekenblad Aansluiting'!$A:$A,0))</f>
        <v>102.77777777777777</v>
      </c>
      <c r="BD19" s="206">
        <f t="shared" si="5"/>
        <v>4625</v>
      </c>
      <c r="BE19" s="212">
        <f>INDEX('Rekenblad Aansluiting'!$X:$X,MATCH($G19&amp;" "&amp;$E19&amp;BE$3&amp;$H19,'Rekenblad Aansluiting'!$A:$A,0))</f>
        <v>78.673244727777771</v>
      </c>
      <c r="BF19" s="213">
        <f>INDEX('Rekenblad Aansluiting'!$X:$X,MATCH($G19&amp;" "&amp;$E19&amp;BF$3&amp;$H19,'Rekenblad Aansluiting'!$A:$A,0))</f>
        <v>78.673244727777771</v>
      </c>
      <c r="BG19" s="213">
        <f>INDEX('Rekenblad Aansluiting'!$X:$X,MATCH($G19&amp;" "&amp;$E19&amp;BG$3&amp;$H19,'Rekenblad Aansluiting'!$A:$A,0))</f>
        <v>78.673244727777771</v>
      </c>
      <c r="BH19" s="213">
        <f>INDEX('Rekenblad Aansluiting'!$X:$X,MATCH($G19&amp;" "&amp;$E19&amp;BH$3&amp;$H19,'Rekenblad Aansluiting'!$A:$A,0))</f>
        <v>68.634321472222211</v>
      </c>
      <c r="BI19" s="213">
        <f>INDEX('Rekenblad Aansluiting'!$X:$X,MATCH($G19&amp;" "&amp;$E19&amp;BI$3&amp;$H19,'Rekenblad Aansluiting'!$A:$A,0))</f>
        <v>68.634321472222211</v>
      </c>
      <c r="BJ19" s="213">
        <f>INDEX('Rekenblad Aansluiting'!$X:$X,MATCH($G19&amp;" "&amp;$E19&amp;BJ$3&amp;$H19,'Rekenblad Aansluiting'!$A:$A,0))</f>
        <v>68.634321472222211</v>
      </c>
      <c r="BK19" s="213">
        <f>INDEX('Rekenblad Aansluiting'!$X:$X,MATCH($G19&amp;" "&amp;$E19&amp;BK$3&amp;$H19,'Rekenblad Aansluiting'!$A:$A,0))</f>
        <v>87.924166666666665</v>
      </c>
      <c r="BL19" s="223">
        <f t="shared" si="0"/>
        <v>3435.966773611111</v>
      </c>
      <c r="BM19" s="129">
        <f>IF(ISNA(INDEX('Tarieven ZM'!$G:$G,MATCH($G19&amp;BM$3,'Tarieven ZM'!$B:$B,0))),0,INDEX('Tarieven ZM'!$G:$G,MATCH($G19&amp;BM$3,'Tarieven ZM'!$B:$B,0)))</f>
        <v>100</v>
      </c>
      <c r="BN19" s="133">
        <f>IF(ISNA(INDEX('Tarieven ZM'!$G:$G,MATCH($G19&amp;BN$3,'Tarieven ZM'!$B:$B,0))),0,INDEX('Tarieven ZM'!$G:$G,MATCH($G19&amp;BN$3,'Tarieven ZM'!$B:$B,0)))</f>
        <v>100</v>
      </c>
      <c r="BO19" s="133">
        <f>IF(ISNA(INDEX('Tarieven ZM'!$G:$G,MATCH($G19&amp;BO$3,'Tarieven ZM'!$B:$B,0))),0,INDEX('Tarieven ZM'!$G:$G,MATCH($G19&amp;BO$3,'Tarieven ZM'!$B:$B,0)))</f>
        <v>100</v>
      </c>
      <c r="BP19" s="133">
        <f>IF(ISNA(INDEX('Tarieven ZM'!$G:$G,MATCH($G19&amp;BP$3,'Tarieven ZM'!$B:$B,0))),0,INDEX('Tarieven ZM'!$G:$G,MATCH($G19&amp;BP$3,'Tarieven ZM'!$B:$B,0)))</f>
        <v>100</v>
      </c>
      <c r="BQ19" s="133">
        <f>IF(ISNA(INDEX('Tarieven ZM'!$G:$G,MATCH($G19&amp;BQ$3,'Tarieven ZM'!$B:$B,0))),0,INDEX('Tarieven ZM'!$G:$G,MATCH($G19&amp;BQ$3,'Tarieven ZM'!$B:$B,0)))</f>
        <v>100</v>
      </c>
      <c r="BR19" s="133">
        <f>IF(ISNA(INDEX('Tarieven ZM'!$G:$G,MATCH($G19&amp;BR$3,'Tarieven ZM'!$B:$B,0))),0,INDEX('Tarieven ZM'!$G:$G,MATCH($G19&amp;BR$3,'Tarieven ZM'!$B:$B,0)))</f>
        <v>100</v>
      </c>
      <c r="BS19" s="133">
        <f>IF(ISNA(INDEX('Tarieven ZM'!$G:$G,MATCH($G19&amp;BS$3,'Tarieven ZM'!$B:$B,0))),0,INDEX('Tarieven ZM'!$G:$G,MATCH($G19&amp;BS$3,'Tarieven ZM'!$B:$B,0)))</f>
        <v>0</v>
      </c>
      <c r="BT19" s="133">
        <f>IF(ISNA(INDEX('Tarieven ZM'!$G:$G,MATCH($G19&amp;BT$3,'Tarieven ZM'!$B:$B,0))),0,INDEX('Tarieven ZM'!$G:$G,MATCH($G19&amp;BT$3,'Tarieven ZM'!$B:$B,0)))</f>
        <v>0</v>
      </c>
      <c r="BU19" s="133">
        <f>IF(ISNA(INDEX('Tarieven ZM'!$G:$G,MATCH($G19&amp;BU$3,'Tarieven ZM'!$B:$B,0))),0,INDEX('Tarieven ZM'!$G:$G,MATCH($G19&amp;BU$3,'Tarieven ZM'!$B:$B,0)))</f>
        <v>0</v>
      </c>
      <c r="BV19" s="133">
        <f>IF(ISNA(INDEX('Tarieven ZM'!$G:$G,MATCH($G19&amp;BV$3,'Tarieven ZM'!$B:$B,0))),0,INDEX('Tarieven ZM'!$G:$G,MATCH($G19&amp;BV$3,'Tarieven ZM'!$B:$B,0)))</f>
        <v>0</v>
      </c>
      <c r="BW19" s="133">
        <f>IF(ISNA(INDEX('Tarieven ZM'!$G:$G,MATCH($G19&amp;BW$3,'Tarieven ZM'!$B:$B,0))),0,INDEX('Tarieven ZM'!$G:$G,MATCH($G19&amp;BW$3,'Tarieven ZM'!$B:$B,0)))</f>
        <v>100</v>
      </c>
      <c r="BX19" s="133">
        <f>IF(ISNA(INDEX('Tarieven ZM'!$G:$G,MATCH($G19&amp;BX$3,'Tarieven ZM'!$B:$B,0))),0,INDEX('Tarieven ZM'!$G:$G,MATCH($G19&amp;BX$3,'Tarieven ZM'!$B:$B,0)))</f>
        <v>0</v>
      </c>
      <c r="BY19" s="133">
        <f>IF(ISNA(INDEX('Tarieven ZM'!$G:$G,MATCH($G19&amp;BY$3,'Tarieven ZM'!$B:$B,0))),0,INDEX('Tarieven ZM'!$G:$G,MATCH($G19&amp;BY$3,'Tarieven ZM'!$B:$B,0)))</f>
        <v>0</v>
      </c>
      <c r="BZ19" s="133">
        <f>IF(ISNA(INDEX('Tarieven ZM'!$G:$G,MATCH($G19&amp;BZ$3,'Tarieven ZM'!$B:$B,0))),0,INDEX('Tarieven ZM'!$G:$G,MATCH($G19&amp;BZ$3,'Tarieven ZM'!$B:$B,0)))</f>
        <v>100</v>
      </c>
      <c r="CA19" s="133">
        <f>IF(ISNA(INDEX('Tarieven ZM'!$G:$G,MATCH($G19&amp;CA$3,'Tarieven ZM'!$B:$B,0))),0,INDEX('Tarieven ZM'!$G:$G,MATCH($G19&amp;CA$3,'Tarieven ZM'!$B:$B,0)))</f>
        <v>100</v>
      </c>
      <c r="CB19" s="133">
        <f>IF(ISNA(INDEX('Tarieven ZM'!$G:$G,MATCH($G19&amp;CB$3,'Tarieven ZM'!$B:$B,0))),0,INDEX('Tarieven ZM'!$G:$G,MATCH($G19&amp;CB$3,'Tarieven ZM'!$B:$B,0)))</f>
        <v>100</v>
      </c>
      <c r="CC19" s="133">
        <f>IF(ISNA(INDEX('Tarieven ZM'!$G:$G,MATCH($G19&amp;CC$3,'Tarieven ZM'!$B:$B,0))),0,INDEX('Tarieven ZM'!$G:$G,MATCH($G19&amp;CC$3,'Tarieven ZM'!$B:$B,0)))</f>
        <v>100</v>
      </c>
      <c r="CD19" s="133">
        <f>IF(ISNA(INDEX('Tarieven ZM'!$G:$G,MATCH($G19&amp;CD$3,'Tarieven ZM'!$B:$B,0))),0,INDEX('Tarieven ZM'!$G:$G,MATCH($G19&amp;CD$3,'Tarieven ZM'!$B:$B,0)))</f>
        <v>100</v>
      </c>
      <c r="CE19" s="133">
        <f>IF(ISNA(INDEX('Tarieven ZM'!$G:$G,MATCH($G19&amp;CE$3,'Tarieven ZM'!$B:$B,0))),0,INDEX('Tarieven ZM'!$G:$G,MATCH($G19&amp;CE$3,'Tarieven ZM'!$B:$B,0)))</f>
        <v>0</v>
      </c>
      <c r="CF19" s="133">
        <f>IF(ISNA(INDEX('Tarieven ZM'!$G:$G,MATCH($G19&amp;CF$3,'Tarieven ZM'!$B:$B,0))),0,INDEX('Tarieven ZM'!$G:$G,MATCH($G19&amp;CF$3,'Tarieven ZM'!$B:$B,0)))</f>
        <v>100</v>
      </c>
      <c r="CG19" s="133">
        <f>IF(ISNA(INDEX('Tarieven ZM'!$G:$G,MATCH($G19&amp;CG$3,'Tarieven ZM'!$B:$B,0))),0,INDEX('Tarieven ZM'!$G:$G,MATCH($G19&amp;CG$3,'Tarieven ZM'!$B:$B,0)))</f>
        <v>100</v>
      </c>
      <c r="CH19" s="133">
        <f>IF(ISNA(INDEX('Tarieven ZM'!$G:$G,MATCH($G19&amp;CH$3,'Tarieven ZM'!$B:$B,0))),0,INDEX('Tarieven ZM'!$G:$G,MATCH($G19&amp;CH$3,'Tarieven ZM'!$B:$B,0)))</f>
        <v>0</v>
      </c>
      <c r="CI19" s="133">
        <f>IF(ISNA(INDEX('Tarieven ZM'!$G:$G,MATCH($G19&amp;CI$3,'Tarieven ZM'!$B:$B,0))),0,INDEX('Tarieven ZM'!$G:$G,MATCH($G19&amp;CI$3,'Tarieven ZM'!$B:$B,0)))</f>
        <v>0</v>
      </c>
      <c r="CJ19" s="133">
        <f>IF(ISNA(INDEX('Tarieven ZM'!$G:$G,MATCH($G19&amp;CJ$3,'Tarieven ZM'!$B:$B,0))),0,INDEX('Tarieven ZM'!$G:$G,MATCH($G19&amp;CJ$3,'Tarieven ZM'!$B:$B,0)))</f>
        <v>0</v>
      </c>
      <c r="CK19" s="120">
        <f>IF(ISNA(INDEX('Tarieven ZM'!$G:$G,MATCH($G19&amp;CK$3,'Tarieven ZM'!$B:$B,0))),0,INDEX('Tarieven ZM'!$G:$G,MATCH($G19&amp;CK$3,'Tarieven ZM'!$B:$B,0)))</f>
        <v>0</v>
      </c>
      <c r="CL19" s="129">
        <f>IF(ISNA(INDEX('Tarieven ZM'!$H:$H,MATCH($G19&amp;CL$3,'Tarieven ZM'!$B:$B,0))),0,INDEX('Tarieven ZM'!$H:$H,MATCH($G19&amp;CL$3,'Tarieven ZM'!$B:$B,0)))</f>
        <v>1000</v>
      </c>
      <c r="CM19" s="133">
        <f>IF(ISNA(INDEX('Tarieven ZM'!$H:$H,MATCH($G19&amp;CM$3,'Tarieven ZM'!$B:$B,0))),0,INDEX('Tarieven ZM'!$H:$H,MATCH($G19&amp;CM$3,'Tarieven ZM'!$B:$B,0)))</f>
        <v>1000</v>
      </c>
      <c r="CN19" s="133">
        <f>IF(ISNA(INDEX('Tarieven ZM'!$H:$H,MATCH($G19&amp;CN$3,'Tarieven ZM'!$B:$B,0))),0,INDEX('Tarieven ZM'!$H:$H,MATCH($G19&amp;CN$3,'Tarieven ZM'!$B:$B,0)))</f>
        <v>1000</v>
      </c>
      <c r="CO19" s="133">
        <f>IF(ISNA(INDEX('Tarieven ZM'!$H:$H,MATCH($G19&amp;CO$3,'Tarieven ZM'!$B:$B,0))),0,INDEX('Tarieven ZM'!$H:$H,MATCH($G19&amp;CO$3,'Tarieven ZM'!$B:$B,0)))</f>
        <v>1000</v>
      </c>
      <c r="CP19" s="133">
        <f>IF(ISNA(INDEX('Tarieven ZM'!$H:$H,MATCH($G19&amp;CP$3,'Tarieven ZM'!$B:$B,0))),0,INDEX('Tarieven ZM'!$H:$H,MATCH($G19&amp;CP$3,'Tarieven ZM'!$B:$B,0)))</f>
        <v>1000</v>
      </c>
      <c r="CQ19" s="133">
        <f>IF(ISNA(INDEX('Tarieven ZM'!$H:$H,MATCH($G19&amp;CQ$3,'Tarieven ZM'!$B:$B,0))),0,INDEX('Tarieven ZM'!$H:$H,MATCH($G19&amp;CQ$3,'Tarieven ZM'!$B:$B,0)))</f>
        <v>1000</v>
      </c>
      <c r="CR19" s="133">
        <f>IF(ISNA(INDEX('Tarieven ZM'!$H:$H,MATCH($G19&amp;CR$3,'Tarieven ZM'!$B:$B,0))),0,INDEX('Tarieven ZM'!$H:$H,MATCH($G19&amp;CR$3,'Tarieven ZM'!$B:$B,0)))</f>
        <v>1000</v>
      </c>
      <c r="CS19" s="133">
        <f>IF(ISNA(INDEX('Tarieven ZM'!$H:$H,MATCH($G19&amp;CS$3,'Tarieven ZM'!$B:$B,0))),0,INDEX('Tarieven ZM'!$H:$H,MATCH($G19&amp;CS$3,'Tarieven ZM'!$B:$B,0)))</f>
        <v>1000</v>
      </c>
      <c r="CT19" s="133">
        <f>IF(ISNA(INDEX('Tarieven ZM'!$H:$H,MATCH($G19&amp;CT$3,'Tarieven ZM'!$B:$B,0))),0,INDEX('Tarieven ZM'!$H:$H,MATCH($G19&amp;CT$3,'Tarieven ZM'!$B:$B,0)))</f>
        <v>1000</v>
      </c>
      <c r="CU19" s="133">
        <f>IF(ISNA(INDEX('Tarieven ZM'!$H:$H,MATCH($G19&amp;CU$3,'Tarieven ZM'!$B:$B,0))),0,INDEX('Tarieven ZM'!$H:$H,MATCH($G19&amp;CU$3,'Tarieven ZM'!$B:$B,0)))</f>
        <v>1000</v>
      </c>
      <c r="CV19" s="133">
        <f>IF(ISNA(INDEX('Tarieven ZM'!$H:$H,MATCH($G19&amp;CV$3,'Tarieven ZM'!$B:$B,0))),0,INDEX('Tarieven ZM'!$H:$H,MATCH($G19&amp;CV$3,'Tarieven ZM'!$B:$B,0)))</f>
        <v>1000</v>
      </c>
      <c r="CW19" s="133">
        <f>IF(ISNA(INDEX('Tarieven ZM'!$H:$H,MATCH($G19&amp;CW$3,'Tarieven ZM'!$B:$B,0))),0,INDEX('Tarieven ZM'!$H:$H,MATCH($G19&amp;CW$3,'Tarieven ZM'!$B:$B,0)))</f>
        <v>1000</v>
      </c>
      <c r="CX19" s="133">
        <f>IF(ISNA(INDEX('Tarieven ZM'!$H:$H,MATCH($G19&amp;CX$3,'Tarieven ZM'!$B:$B,0))),0,INDEX('Tarieven ZM'!$H:$H,MATCH($G19&amp;CX$3,'Tarieven ZM'!$B:$B,0)))</f>
        <v>1000</v>
      </c>
      <c r="CY19" s="133">
        <f>IF(ISNA(INDEX('Tarieven ZM'!$H:$H,MATCH($G19&amp;CY$3,'Tarieven ZM'!$B:$B,0))),0,INDEX('Tarieven ZM'!$H:$H,MATCH($G19&amp;CY$3,'Tarieven ZM'!$B:$B,0)))</f>
        <v>1000</v>
      </c>
      <c r="CZ19" s="133">
        <f>IF(ISNA(INDEX('Tarieven ZM'!$H:$H,MATCH($G19&amp;CZ$3,'Tarieven ZM'!$B:$B,0))),0,INDEX('Tarieven ZM'!$H:$H,MATCH($G19&amp;CZ$3,'Tarieven ZM'!$B:$B,0)))</f>
        <v>1000</v>
      </c>
      <c r="DA19" s="133">
        <f>IF(ISNA(INDEX('Tarieven ZM'!$H:$H,MATCH($G19&amp;DA$3,'Tarieven ZM'!$B:$B,0))),0,INDEX('Tarieven ZM'!$H:$H,MATCH($G19&amp;DA$3,'Tarieven ZM'!$B:$B,0)))</f>
        <v>1000</v>
      </c>
      <c r="DB19" s="133">
        <f>IF(ISNA(INDEX('Tarieven ZM'!$H:$H,MATCH($G19&amp;DB$3,'Tarieven ZM'!$B:$B,0))),0,INDEX('Tarieven ZM'!$H:$H,MATCH($G19&amp;DB$3,'Tarieven ZM'!$B:$B,0)))</f>
        <v>1000</v>
      </c>
      <c r="DC19" s="133">
        <f>IF(ISNA(INDEX('Tarieven ZM'!$H:$H,MATCH($G19&amp;DC$3,'Tarieven ZM'!$B:$B,0))),0,INDEX('Tarieven ZM'!$H:$H,MATCH($G19&amp;DC$3,'Tarieven ZM'!$B:$B,0)))</f>
        <v>1000</v>
      </c>
      <c r="DD19" s="133">
        <f>IF(ISNA(INDEX('Tarieven ZM'!$H:$H,MATCH($G19&amp;DD$3,'Tarieven ZM'!$B:$B,0))),0,INDEX('Tarieven ZM'!$H:$H,MATCH($G19&amp;DD$3,'Tarieven ZM'!$B:$B,0)))</f>
        <v>1000</v>
      </c>
      <c r="DE19" s="133">
        <f>IF(ISNA(INDEX('Tarieven ZM'!$H:$H,MATCH($G19&amp;DE$3,'Tarieven ZM'!$B:$B,0))),0,INDEX('Tarieven ZM'!$H:$H,MATCH($G19&amp;DE$3,'Tarieven ZM'!$B:$B,0)))</f>
        <v>1000</v>
      </c>
      <c r="DF19" s="133">
        <f>IF(ISNA(INDEX('Tarieven ZM'!$H:$H,MATCH($G19&amp;DF$3,'Tarieven ZM'!$B:$B,0))),0,INDEX('Tarieven ZM'!$H:$H,MATCH($G19&amp;DF$3,'Tarieven ZM'!$B:$B,0)))</f>
        <v>1000</v>
      </c>
      <c r="DG19" s="133">
        <f>IF(ISNA(INDEX('Tarieven ZM'!$H:$H,MATCH($G19&amp;DG$3,'Tarieven ZM'!$B:$B,0))),0,INDEX('Tarieven ZM'!$H:$H,MATCH($G19&amp;DG$3,'Tarieven ZM'!$B:$B,0)))</f>
        <v>1000</v>
      </c>
      <c r="DH19" s="133">
        <f>IF(ISNA(INDEX('Tarieven ZM'!$H:$H,MATCH($G19&amp;DH$3,'Tarieven ZM'!$B:$B,0))),0,INDEX('Tarieven ZM'!$H:$H,MATCH($G19&amp;DH$3,'Tarieven ZM'!$B:$B,0)))</f>
        <v>1000</v>
      </c>
      <c r="DI19" s="133">
        <f>IF(ISNA(INDEX('Tarieven ZM'!$H:$H,MATCH($G19&amp;DI$3,'Tarieven ZM'!$B:$B,0))),0,INDEX('Tarieven ZM'!$H:$H,MATCH($G19&amp;DI$3,'Tarieven ZM'!$B:$B,0)))</f>
        <v>1000</v>
      </c>
      <c r="DJ19" s="120">
        <f>IF(ISNA(INDEX('Tarieven ZM'!$H:$H,MATCH($G19&amp;DJ$3,'Tarieven ZM'!$B:$B,0))),0,INDEX('Tarieven ZM'!$H:$H,MATCH($G19&amp;DJ$3,'Tarieven ZM'!$B:$B,0)))</f>
        <v>1000</v>
      </c>
      <c r="DK19" s="212">
        <f t="shared" si="6"/>
        <v>1401</v>
      </c>
      <c r="DL19" s="142">
        <f>SUMPRODUCT($X19:$AV19,CL19:DJ19)/Parameters!$B$9</f>
        <v>694.44444444444446</v>
      </c>
      <c r="DM19" s="157">
        <f t="shared" si="7"/>
        <v>2095.4444444444443</v>
      </c>
      <c r="DN19" s="129">
        <f>INDEX(WLR!$J:$J,MATCH(DN$4,WLR!$A:$A,0))</f>
        <v>10.39</v>
      </c>
      <c r="DO19" s="133">
        <f>INDEX(WLR!$J:$J,MATCH(DO$4,WLR!$A:$A,0))</f>
        <v>10.39</v>
      </c>
      <c r="DP19" s="133">
        <f>INDEX(WLR!$J:$J,MATCH(DP$4,WLR!$A:$A,0))</f>
        <v>62.94</v>
      </c>
      <c r="DQ19" s="133">
        <f>INDEX(WLR!$J:$J,MATCH(DQ$4,WLR!$A:$A,0))</f>
        <v>62.94</v>
      </c>
      <c r="DR19" s="133">
        <f>INDEX(WLR!$J:$J,MATCH(DR$4,WLR!$A:$A,0))</f>
        <v>494.44</v>
      </c>
      <c r="DS19" s="133">
        <f>INDEX(WLR!$J:$J,MATCH(DS$4,WLR!$A:$A,0))</f>
        <v>494.44</v>
      </c>
      <c r="DT19" s="133">
        <f>INDEX(WLR!$J:$J,MATCH(DT$4,WLR!$A:$A,0))</f>
        <v>3510.28</v>
      </c>
      <c r="DU19" s="133">
        <f>INDEX(WLR!$J:$J,MATCH(DU$4,WLR!$A:$A,0))</f>
        <v>1.19</v>
      </c>
      <c r="DV19" s="133">
        <f>INDEX(WLR!$J:$J,MATCH(DV$4,WLR!$A:$A,0))</f>
        <v>29.43</v>
      </c>
      <c r="DW19" s="133">
        <f>INDEX(WLR!$J:$J,MATCH(DW$4,WLR!$A:$A,0))</f>
        <v>192.45</v>
      </c>
      <c r="DX19" s="133">
        <f>INDEX(WLR!$J:$J,MATCH(DX$4,WLR!$A:$A,0))</f>
        <v>9.8000000000000007</v>
      </c>
      <c r="DY19" s="133">
        <f>INDEX(WLR!$J:$J,MATCH(DY$4,WLR!$A:$A,0))</f>
        <v>34.950000000000003</v>
      </c>
      <c r="DZ19" s="133">
        <f>INDEX(WLR!$J:$J,MATCH(DZ$4,WLR!$A:$A,0))</f>
        <v>34.950000000000003</v>
      </c>
      <c r="EA19" s="133">
        <f>INDEX(WLR!$J:$J,MATCH(EA$4,WLR!$A:$A,0))</f>
        <v>2.08</v>
      </c>
      <c r="EB19" s="133">
        <f>INDEX(WLR!$J:$J,MATCH(EB$4,WLR!$A:$A,0))</f>
        <v>1.97</v>
      </c>
      <c r="EC19" s="133">
        <f>INDEX(WLR!$J:$J,MATCH(EC$4,WLR!$A:$A,0))</f>
        <v>1.97</v>
      </c>
      <c r="ED19" s="133">
        <f>INDEX(WLR!$J:$J,MATCH(ED$4,WLR!$A:$A,0))</f>
        <v>0</v>
      </c>
      <c r="EE19" s="133">
        <f>INDEX(WLR!$J:$J,MATCH(EE$4,WLR!$A:$A,0))</f>
        <v>0</v>
      </c>
      <c r="EF19" s="133">
        <f>INDEX(WLR!$J:$J,MATCH(EF$4,WLR!$A:$A,0))</f>
        <v>0.96</v>
      </c>
      <c r="EG19" s="133">
        <f>INDEX(WLR!$J:$J,MATCH(EG$4,WLR!$A:$A,0))</f>
        <v>4.53</v>
      </c>
      <c r="EH19" s="133">
        <f>INDEX(WLR!$J:$J,MATCH(EH$4,WLR!$A:$A,0))</f>
        <v>4.53</v>
      </c>
      <c r="EI19" s="133">
        <f>INDEX(WLR!$J:$J,MATCH(EI$4,WLR!$A:$A,0))</f>
        <v>7.58</v>
      </c>
      <c r="EJ19" s="133">
        <f>INDEX(WLR!$J:$J,MATCH(EJ$4,WLR!$A:$A,0))</f>
        <v>31.11</v>
      </c>
      <c r="EK19" s="133">
        <f>INDEX(WLR!$J:$J,MATCH(EK$4,WLR!$A:$A,0))</f>
        <v>31.11</v>
      </c>
      <c r="EL19" s="120">
        <f>INDEX(WLR!$J:$J,MATCH(EL$4,WLR!$A:$A,0))</f>
        <v>0.96</v>
      </c>
      <c r="EM19" s="129">
        <f>INDEX(WLR!$I:$I,MATCH(EM$4,WLR!$A:$A,0))</f>
        <v>0</v>
      </c>
      <c r="EN19" s="133">
        <f>INDEX(WLR!$I:$I,MATCH(EN$4,WLR!$A:$A,0))</f>
        <v>16.21</v>
      </c>
      <c r="EO19" s="133">
        <f>INDEX(WLR!$I:$I,MATCH(EO$4,WLR!$A:$A,0))</f>
        <v>0</v>
      </c>
      <c r="EP19" s="133">
        <f>INDEX(WLR!$I:$I,MATCH(EP$4,WLR!$A:$A,0))</f>
        <v>16.21</v>
      </c>
      <c r="EQ19" s="133">
        <f>INDEX(WLR!$I:$I,MATCH(EQ$4,WLR!$A:$A,0))</f>
        <v>0</v>
      </c>
      <c r="ER19" s="133">
        <f>INDEX(WLR!$I:$I,MATCH(ER$4,WLR!$A:$A,0))</f>
        <v>16.21</v>
      </c>
      <c r="ES19" s="133">
        <f>INDEX(WLR!$I:$I,MATCH(ES$4,WLR!$A:$A,0))</f>
        <v>0</v>
      </c>
      <c r="ET19" s="133">
        <f>INDEX(WLR!$I:$I,MATCH(ET$4,WLR!$A:$A,0))</f>
        <v>82.82</v>
      </c>
      <c r="EU19" s="133">
        <f>INDEX(WLR!$I:$I,MATCH(EU$4,WLR!$A:$A,0))</f>
        <v>748.42</v>
      </c>
      <c r="EV19" s="133">
        <f>INDEX(WLR!$I:$I,MATCH(EV$4,WLR!$A:$A,0))</f>
        <v>1282.99</v>
      </c>
      <c r="EW19" s="133">
        <f>INDEX(WLR!$I:$I,MATCH(EW$4,WLR!$A:$A,0))</f>
        <v>16.21</v>
      </c>
      <c r="EX19" s="133">
        <f>INDEX(WLR!$I:$I,MATCH(EX$4,WLR!$A:$A,0))</f>
        <v>79.94</v>
      </c>
      <c r="EY19" s="133">
        <f>INDEX(WLR!$I:$I,MATCH(EY$4,WLR!$A:$A,0))</f>
        <v>839.48</v>
      </c>
      <c r="EZ19" s="133">
        <f>INDEX(WLR!$I:$I,MATCH(EZ$4,WLR!$A:$A,0))</f>
        <v>32.950000000000003</v>
      </c>
      <c r="FA19" s="133">
        <f>INDEX(WLR!$I:$I,MATCH(FA$4,WLR!$A:$A,0))</f>
        <v>16.21</v>
      </c>
      <c r="FB19" s="133">
        <f>INDEX(WLR!$I:$I,MATCH(FB$4,WLR!$A:$A,0))</f>
        <v>16.21</v>
      </c>
      <c r="FC19" s="133">
        <f>INDEX(WLR!$I:$I,MATCH(FC$4,WLR!$A:$A,0))</f>
        <v>0</v>
      </c>
      <c r="FD19" s="133">
        <f>INDEX(WLR!$I:$I,MATCH(FD$4,WLR!$A:$A,0))</f>
        <v>15.73</v>
      </c>
      <c r="FE19" s="133">
        <f>INDEX(WLR!$I:$I,MATCH(FE$4,WLR!$A:$A,0))</f>
        <v>0</v>
      </c>
      <c r="FF19" s="133">
        <f>INDEX(WLR!$I:$I,MATCH(FF$4,WLR!$A:$A,0))</f>
        <v>0</v>
      </c>
      <c r="FG19" s="133">
        <f>INDEX(WLR!$I:$I,MATCH(FG$4,WLR!$A:$A,0))</f>
        <v>0</v>
      </c>
      <c r="FH19" s="133">
        <f>INDEX(WLR!$I:$I,MATCH(FH$4,WLR!$A:$A,0))</f>
        <v>15.73</v>
      </c>
      <c r="FI19" s="133">
        <f>INDEX(WLR!$I:$I,MATCH(FI$4,WLR!$A:$A,0))</f>
        <v>40.06</v>
      </c>
      <c r="FJ19" s="133">
        <f>INDEX(WLR!$I:$I,MATCH(FJ$4,WLR!$A:$A,0))</f>
        <v>40.06</v>
      </c>
      <c r="FK19" s="120">
        <f>INDEX(WLR!$I:$I,MATCH(FK$4,WLR!$A:$A,0))</f>
        <v>0</v>
      </c>
      <c r="FL19" s="168">
        <f>SUMPRODUCT(X19:AV19,DN19:EL19)+V19*(1-Parameters!$B$52)</f>
        <v>5036.1899999999987</v>
      </c>
      <c r="FM19" s="213">
        <f>SUMPRODUCT(X19:AV19,EM19:FK19)/Parameters!$B$9</f>
        <v>90.984444444444435</v>
      </c>
      <c r="FN19" s="136">
        <f t="shared" si="8"/>
        <v>5127.174444444443</v>
      </c>
      <c r="FO19" s="148">
        <f>DM19*Parameters!$B$3</f>
        <v>209.54444444444445</v>
      </c>
      <c r="FP19" s="142">
        <f>IF(LEFT(G19,3)="KPN",(('Vergoedingen grondslag'!$F$11+'Vergoedingen grondslag'!$I$11+'Vergoedingen grondslag'!$L$11+'Vergoedingen grondslag'!$O$11)*DK19)+('Vergoedingen grondslag'!$O$11*DL19+'Vergoedingen grondslag'!$R$11*0+'Vergoedingen grondslag'!$U$11+'Vergoedingen grondslag'!$X$11)/36,(('Vergoedingen grondslag'!$F$20+'Vergoedingen grondslag'!$I$20+'Vergoedingen grondslag'!$L$20+'Vergoedingen grondslag'!$O$20)*DK19)+('Vergoedingen grondslag'!$O$20*DL19+'Vergoedingen grondslag'!$R$20*0+'Vergoedingen grondslag'!$U$20*0)/36)</f>
        <v>56.232901234567898</v>
      </c>
      <c r="FQ19" s="133"/>
      <c r="FR19" s="157">
        <f t="shared" si="9"/>
        <v>265.77734567901234</v>
      </c>
      <c r="FS19" s="166">
        <f t="shared" si="10"/>
        <v>5392.9517901234558</v>
      </c>
      <c r="FT19" s="168">
        <f t="shared" si="1"/>
        <v>3170.1894279320986</v>
      </c>
      <c r="FU19" s="145">
        <f t="shared" si="2"/>
        <v>0.47172318053351114</v>
      </c>
      <c r="FV19" s="120" t="b">
        <f t="shared" si="11"/>
        <v>0</v>
      </c>
      <c r="FW19" s="331" t="s">
        <v>868</v>
      </c>
    </row>
    <row r="20" spans="2:179" ht="14.4">
      <c r="B20" s="130"/>
      <c r="C20" s="131"/>
      <c r="D20" s="130" t="s">
        <v>645</v>
      </c>
      <c r="E20" s="134" t="s">
        <v>648</v>
      </c>
      <c r="F20" s="134" t="s">
        <v>469</v>
      </c>
      <c r="G20" s="134" t="s">
        <v>12</v>
      </c>
      <c r="H20" s="134" t="s">
        <v>459</v>
      </c>
      <c r="I20" s="134" t="str">
        <f t="shared" si="3"/>
        <v>TZ BelBasisISDN30VVE overstap</v>
      </c>
      <c r="J20" s="131" t="str">
        <f>D20&amp;F20&amp;G20</f>
        <v>n4*ISDN30TZ</v>
      </c>
      <c r="K20" s="208">
        <f>INDEX(Facilitietenprofielen!D:D,MATCH($J20,Facilitietenprofielen!$A:$A,0))</f>
        <v>5</v>
      </c>
      <c r="L20" s="209">
        <f>INDEX(Facilitietenprofielen!E:E,MATCH($J20,Facilitietenprofielen!$A:$A,0))</f>
        <v>5</v>
      </c>
      <c r="M20" s="209">
        <f>INDEX(Facilitietenprofielen!F:F,MATCH($J20,Facilitietenprofielen!$A:$A,0))</f>
        <v>5</v>
      </c>
      <c r="N20" s="209">
        <f>INDEX(Facilitietenprofielen!G:G,MATCH($J20,Facilitietenprofielen!$A:$A,0))</f>
        <v>5</v>
      </c>
      <c r="O20" s="209">
        <f>INDEX(Facilitietenprofielen!H:H,MATCH($J20,Facilitietenprofielen!$A:$A,0))</f>
        <v>5</v>
      </c>
      <c r="P20" s="209">
        <f>INDEX(Facilitietenprofielen!I:I,MATCH($J20,Facilitietenprofielen!$A:$A,0))</f>
        <v>5</v>
      </c>
      <c r="Q20" s="209">
        <f>INDEX(Facilitietenprofielen!J:J,MATCH($J20,Facilitietenprofielen!$A:$A,0))</f>
        <v>5</v>
      </c>
      <c r="R20" s="209">
        <f>INDEX(Facilitietenprofielen!K:K,MATCH($J20,Facilitietenprofielen!$A:$A,0))</f>
        <v>5</v>
      </c>
      <c r="S20" s="209">
        <f>INDEX(Facilitietenprofielen!L:L,MATCH($J20,Facilitietenprofielen!$A:$A,0))</f>
        <v>5</v>
      </c>
      <c r="T20" s="209">
        <f>INDEX(Facilitietenprofielen!M:M,MATCH($J20,Facilitietenprofielen!$A:$A,0))</f>
        <v>510</v>
      </c>
      <c r="U20" s="209">
        <f>INDEX(Facilitietenprofielen!N:N,MATCH($J20,Facilitietenprofielen!$A:$A,0))</f>
        <v>102</v>
      </c>
      <c r="V20" s="209">
        <f>INDEX(Facilitietenprofielen!V:V,MATCH($J20,Facilitietenprofielen!$A:$A,0))</f>
        <v>1</v>
      </c>
      <c r="W20" s="209">
        <f>INDEX(Facilitietenprofielen!W:W,MATCH($J20,Facilitietenprofielen!$A:$A,0))</f>
        <v>1</v>
      </c>
      <c r="X20" s="209">
        <f>INDEX(Facilitietenprofielen!O:O,MATCH($J20,Facilitietenprofielen!$A:$A,0))</f>
        <v>1</v>
      </c>
      <c r="Y20" s="209">
        <f>INDEX(Facilitietenprofielen!P:P,MATCH($J20,Facilitietenprofielen!$A:$A,0))</f>
        <v>1</v>
      </c>
      <c r="Z20" s="209">
        <f>INDEX(Facilitietenprofielen!Q:Q,MATCH($J20,Facilitietenprofielen!$A:$A,0))</f>
        <v>1</v>
      </c>
      <c r="AA20" s="209">
        <f>INDEX(Facilitietenprofielen!R:R,MATCH($J20,Facilitietenprofielen!$A:$A,0))</f>
        <v>1</v>
      </c>
      <c r="AB20" s="209">
        <f>INDEX(Facilitietenprofielen!S:S,MATCH($J20,Facilitietenprofielen!$A:$A,0))</f>
        <v>1</v>
      </c>
      <c r="AC20" s="209">
        <f>INDEX(Facilitietenprofielen!T:T,MATCH($J20,Facilitietenprofielen!$A:$A,0))</f>
        <v>1</v>
      </c>
      <c r="AD20" s="209">
        <f>INDEX(Facilitietenprofielen!U:U,MATCH($J20,Facilitietenprofielen!$A:$A,0))</f>
        <v>1</v>
      </c>
      <c r="AE20" s="209">
        <f>INDEX(Facilitietenprofielen!Y:Y,MATCH($J20,Facilitietenprofielen!$A:$A,0))</f>
        <v>1</v>
      </c>
      <c r="AF20" s="209">
        <f>INDEX(Facilitietenprofielen!Z:Z,MATCH($J20,Facilitietenprofielen!$A:$A,0))</f>
        <v>1</v>
      </c>
      <c r="AG20" s="209">
        <f>INDEX(Facilitietenprofielen!AA:AA,MATCH($J20,Facilitietenprofielen!$A:$A,0))</f>
        <v>1</v>
      </c>
      <c r="AH20" s="209">
        <f>INDEX(Facilitietenprofielen!AB:AB,MATCH($J20,Facilitietenprofielen!$A:$A,0))</f>
        <v>1</v>
      </c>
      <c r="AI20" s="209">
        <f>INDEX(Facilitietenprofielen!AC:AC,MATCH($J20,Facilitietenprofielen!$A:$A,0))</f>
        <v>1</v>
      </c>
      <c r="AJ20" s="209">
        <f>INDEX(Facilitietenprofielen!AD:AD,MATCH($J20,Facilitietenprofielen!$A:$A,0))</f>
        <v>1</v>
      </c>
      <c r="AK20" s="209">
        <f>INDEX(Facilitietenprofielen!AE:AE,MATCH($J20,Facilitietenprofielen!$A:$A,0))</f>
        <v>1</v>
      </c>
      <c r="AL20" s="209">
        <f>INDEX(Facilitietenprofielen!AF:AF,MATCH($J20,Facilitietenprofielen!$A:$A,0))</f>
        <v>1</v>
      </c>
      <c r="AM20" s="209">
        <f>INDEX(Facilitietenprofielen!AG:AG,MATCH($J20,Facilitietenprofielen!$A:$A,0))</f>
        <v>1</v>
      </c>
      <c r="AN20" s="209">
        <f>INDEX(Facilitietenprofielen!AH:AH,MATCH($J20,Facilitietenprofielen!$A:$A,0))</f>
        <v>1</v>
      </c>
      <c r="AO20" s="209">
        <f>INDEX(Facilitietenprofielen!AI:AI,MATCH($J20,Facilitietenprofielen!$A:$A,0))</f>
        <v>1</v>
      </c>
      <c r="AP20" s="209">
        <f>INDEX(Facilitietenprofielen!AJ:AJ,MATCH($J20,Facilitietenprofielen!$A:$A,0))</f>
        <v>1</v>
      </c>
      <c r="AQ20" s="209">
        <f>INDEX(Facilitietenprofielen!AK:AK,MATCH($J20,Facilitietenprofielen!$A:$A,0))</f>
        <v>1</v>
      </c>
      <c r="AR20" s="209">
        <f>INDEX(Facilitietenprofielen!AL:AL,MATCH($J20,Facilitietenprofielen!$A:$A,0))</f>
        <v>1</v>
      </c>
      <c r="AS20" s="209">
        <f>INDEX(Facilitietenprofielen!AM:AM,MATCH($J20,Facilitietenprofielen!$A:$A,0))</f>
        <v>1</v>
      </c>
      <c r="AT20" s="209">
        <f>INDEX(Facilitietenprofielen!AN:AN,MATCH($J20,Facilitietenprofielen!$A:$A,0))</f>
        <v>1</v>
      </c>
      <c r="AU20" s="209">
        <f>INDEX(Facilitietenprofielen!AO:AO,MATCH($J20,Facilitietenprofielen!$A:$A,0))</f>
        <v>1</v>
      </c>
      <c r="AV20" s="210">
        <f>INDEX(Facilitietenprofielen!AP:AP,MATCH($J20,Facilitietenprofielen!$A:$A,0))</f>
        <v>1</v>
      </c>
      <c r="AW20" s="209">
        <f>INDEX('Rekenblad Aansluiting'!$O:$O,MATCH($G20&amp;" "&amp;$E20&amp;BE$3&amp;$H20,'Rekenblad Aansluiting'!$A:$A,0))</f>
        <v>102.77777777777777</v>
      </c>
      <c r="AX20" s="209">
        <f>INDEX('Rekenblad Aansluiting'!$O:$O,MATCH($G20&amp;" "&amp;$E20&amp;BF$3&amp;$H20,'Rekenblad Aansluiting'!$A:$A,0))</f>
        <v>102.77777777777777</v>
      </c>
      <c r="AY20" s="209">
        <f>INDEX('Rekenblad Aansluiting'!$O:$O,MATCH($G20&amp;" "&amp;$E20&amp;BG$3&amp;$H20,'Rekenblad Aansluiting'!$A:$A,0))</f>
        <v>102.77777777777777</v>
      </c>
      <c r="AZ20" s="209">
        <f>INDEX('Rekenblad Aansluiting'!$O:$O,MATCH($G20&amp;" "&amp;$E20&amp;BH$3&amp;$H20,'Rekenblad Aansluiting'!$A:$A,0))</f>
        <v>102.77777777777777</v>
      </c>
      <c r="BA20" s="209">
        <f>INDEX('Rekenblad Aansluiting'!$O:$O,MATCH($G20&amp;" "&amp;$E20&amp;BI$3&amp;$H20,'Rekenblad Aansluiting'!$A:$A,0))</f>
        <v>102.77777777777777</v>
      </c>
      <c r="BB20" s="209">
        <f>INDEX('Rekenblad Aansluiting'!$O:$O,MATCH($G20&amp;" "&amp;$E20&amp;BJ$3&amp;$H20,'Rekenblad Aansluiting'!$A:$A,0))</f>
        <v>102.77777777777777</v>
      </c>
      <c r="BC20" s="209">
        <f>INDEX('Rekenblad Aansluiting'!$O:$O,MATCH($G20&amp;" "&amp;$E20&amp;BK$3&amp;$H20,'Rekenblad Aansluiting'!$A:$A,0))</f>
        <v>102.77777777777777</v>
      </c>
      <c r="BD20" s="209">
        <f t="shared" si="5"/>
        <v>4625</v>
      </c>
      <c r="BE20" s="214">
        <f>INDEX('Rekenblad Aansluiting'!$X:$X,MATCH($G20&amp;" "&amp;$E20&amp;BE$3&amp;$H20,'Rekenblad Aansluiting'!$A:$A,0))</f>
        <v>78.673244727777771</v>
      </c>
      <c r="BF20" s="215">
        <f>INDEX('Rekenblad Aansluiting'!$X:$X,MATCH($G20&amp;" "&amp;$E20&amp;BF$3&amp;$H20,'Rekenblad Aansluiting'!$A:$A,0))</f>
        <v>78.673244727777771</v>
      </c>
      <c r="BG20" s="215">
        <f>INDEX('Rekenblad Aansluiting'!$X:$X,MATCH($G20&amp;" "&amp;$E20&amp;BG$3&amp;$H20,'Rekenblad Aansluiting'!$A:$A,0))</f>
        <v>78.673244727777771</v>
      </c>
      <c r="BH20" s="215">
        <f>INDEX('Rekenblad Aansluiting'!$X:$X,MATCH($G20&amp;" "&amp;$E20&amp;BH$3&amp;$H20,'Rekenblad Aansluiting'!$A:$A,0))</f>
        <v>68.634321472222211</v>
      </c>
      <c r="BI20" s="215">
        <f>INDEX('Rekenblad Aansluiting'!$X:$X,MATCH($G20&amp;" "&amp;$E20&amp;BI$3&amp;$H20,'Rekenblad Aansluiting'!$A:$A,0))</f>
        <v>68.634321472222211</v>
      </c>
      <c r="BJ20" s="215">
        <f>INDEX('Rekenblad Aansluiting'!$X:$X,MATCH($G20&amp;" "&amp;$E20&amp;BJ$3&amp;$H20,'Rekenblad Aansluiting'!$A:$A,0))</f>
        <v>68.634321472222211</v>
      </c>
      <c r="BK20" s="215">
        <f>INDEX('Rekenblad Aansluiting'!$X:$X,MATCH($G20&amp;" "&amp;$E20&amp;BK$3&amp;$H20,'Rekenblad Aansluiting'!$A:$A,0))</f>
        <v>87.924166666666665</v>
      </c>
      <c r="BL20" s="224">
        <f t="shared" si="0"/>
        <v>3435.966773611111</v>
      </c>
      <c r="BM20" s="130">
        <f>IF(ISNA(INDEX('Tarieven ZM'!$G:$G,MATCH($G20&amp;BM$3,'Tarieven ZM'!$B:$B,0))),0,INDEX('Tarieven ZM'!$G:$G,MATCH($G20&amp;BM$3,'Tarieven ZM'!$B:$B,0)))</f>
        <v>100</v>
      </c>
      <c r="BN20" s="134">
        <f>IF(ISNA(INDEX('Tarieven ZM'!$G:$G,MATCH($G20&amp;BN$3,'Tarieven ZM'!$B:$B,0))),0,INDEX('Tarieven ZM'!$G:$G,MATCH($G20&amp;BN$3,'Tarieven ZM'!$B:$B,0)))</f>
        <v>100</v>
      </c>
      <c r="BO20" s="134">
        <f>IF(ISNA(INDEX('Tarieven ZM'!$G:$G,MATCH($G20&amp;BO$3,'Tarieven ZM'!$B:$B,0))),0,INDEX('Tarieven ZM'!$G:$G,MATCH($G20&amp;BO$3,'Tarieven ZM'!$B:$B,0)))</f>
        <v>100</v>
      </c>
      <c r="BP20" s="134">
        <f>IF(ISNA(INDEX('Tarieven ZM'!$G:$G,MATCH($G20&amp;BP$3,'Tarieven ZM'!$B:$B,0))),0,INDEX('Tarieven ZM'!$G:$G,MATCH($G20&amp;BP$3,'Tarieven ZM'!$B:$B,0)))</f>
        <v>100</v>
      </c>
      <c r="BQ20" s="134">
        <f>IF(ISNA(INDEX('Tarieven ZM'!$G:$G,MATCH($G20&amp;BQ$3,'Tarieven ZM'!$B:$B,0))),0,INDEX('Tarieven ZM'!$G:$G,MATCH($G20&amp;BQ$3,'Tarieven ZM'!$B:$B,0)))</f>
        <v>100</v>
      </c>
      <c r="BR20" s="134">
        <f>IF(ISNA(INDEX('Tarieven ZM'!$G:$G,MATCH($G20&amp;BR$3,'Tarieven ZM'!$B:$B,0))),0,INDEX('Tarieven ZM'!$G:$G,MATCH($G20&amp;BR$3,'Tarieven ZM'!$B:$B,0)))</f>
        <v>100</v>
      </c>
      <c r="BS20" s="134">
        <f>IF(ISNA(INDEX('Tarieven ZM'!$G:$G,MATCH($G20&amp;BS$3,'Tarieven ZM'!$B:$B,0))),0,INDEX('Tarieven ZM'!$G:$G,MATCH($G20&amp;BS$3,'Tarieven ZM'!$B:$B,0)))</f>
        <v>0</v>
      </c>
      <c r="BT20" s="134">
        <f>IF(ISNA(INDEX('Tarieven ZM'!$G:$G,MATCH($G20&amp;BT$3,'Tarieven ZM'!$B:$B,0))),0,INDEX('Tarieven ZM'!$G:$G,MATCH($G20&amp;BT$3,'Tarieven ZM'!$B:$B,0)))</f>
        <v>0</v>
      </c>
      <c r="BU20" s="134">
        <f>IF(ISNA(INDEX('Tarieven ZM'!$G:$G,MATCH($G20&amp;BU$3,'Tarieven ZM'!$B:$B,0))),0,INDEX('Tarieven ZM'!$G:$G,MATCH($G20&amp;BU$3,'Tarieven ZM'!$B:$B,0)))</f>
        <v>0</v>
      </c>
      <c r="BV20" s="134">
        <f>IF(ISNA(INDEX('Tarieven ZM'!$G:$G,MATCH($G20&amp;BV$3,'Tarieven ZM'!$B:$B,0))),0,INDEX('Tarieven ZM'!$G:$G,MATCH($G20&amp;BV$3,'Tarieven ZM'!$B:$B,0)))</f>
        <v>0</v>
      </c>
      <c r="BW20" s="134">
        <f>IF(ISNA(INDEX('Tarieven ZM'!$G:$G,MATCH($G20&amp;BW$3,'Tarieven ZM'!$B:$B,0))),0,INDEX('Tarieven ZM'!$G:$G,MATCH($G20&amp;BW$3,'Tarieven ZM'!$B:$B,0)))</f>
        <v>100</v>
      </c>
      <c r="BX20" s="134">
        <f>IF(ISNA(INDEX('Tarieven ZM'!$G:$G,MATCH($G20&amp;BX$3,'Tarieven ZM'!$B:$B,0))),0,INDEX('Tarieven ZM'!$G:$G,MATCH($G20&amp;BX$3,'Tarieven ZM'!$B:$B,0)))</f>
        <v>0</v>
      </c>
      <c r="BY20" s="134">
        <f>IF(ISNA(INDEX('Tarieven ZM'!$G:$G,MATCH($G20&amp;BY$3,'Tarieven ZM'!$B:$B,0))),0,INDEX('Tarieven ZM'!$G:$G,MATCH($G20&amp;BY$3,'Tarieven ZM'!$B:$B,0)))</f>
        <v>0</v>
      </c>
      <c r="BZ20" s="134">
        <f>IF(ISNA(INDEX('Tarieven ZM'!$G:$G,MATCH($G20&amp;BZ$3,'Tarieven ZM'!$B:$B,0))),0,INDEX('Tarieven ZM'!$G:$G,MATCH($G20&amp;BZ$3,'Tarieven ZM'!$B:$B,0)))</f>
        <v>100</v>
      </c>
      <c r="CA20" s="134">
        <f>IF(ISNA(INDEX('Tarieven ZM'!$G:$G,MATCH($G20&amp;CA$3,'Tarieven ZM'!$B:$B,0))),0,INDEX('Tarieven ZM'!$G:$G,MATCH($G20&amp;CA$3,'Tarieven ZM'!$B:$B,0)))</f>
        <v>100</v>
      </c>
      <c r="CB20" s="134">
        <f>IF(ISNA(INDEX('Tarieven ZM'!$G:$G,MATCH($G20&amp;CB$3,'Tarieven ZM'!$B:$B,0))),0,INDEX('Tarieven ZM'!$G:$G,MATCH($G20&amp;CB$3,'Tarieven ZM'!$B:$B,0)))</f>
        <v>100</v>
      </c>
      <c r="CC20" s="134">
        <f>IF(ISNA(INDEX('Tarieven ZM'!$G:$G,MATCH($G20&amp;CC$3,'Tarieven ZM'!$B:$B,0))),0,INDEX('Tarieven ZM'!$G:$G,MATCH($G20&amp;CC$3,'Tarieven ZM'!$B:$B,0)))</f>
        <v>100</v>
      </c>
      <c r="CD20" s="134">
        <f>IF(ISNA(INDEX('Tarieven ZM'!$G:$G,MATCH($G20&amp;CD$3,'Tarieven ZM'!$B:$B,0))),0,INDEX('Tarieven ZM'!$G:$G,MATCH($G20&amp;CD$3,'Tarieven ZM'!$B:$B,0)))</f>
        <v>100</v>
      </c>
      <c r="CE20" s="134">
        <f>IF(ISNA(INDEX('Tarieven ZM'!$G:$G,MATCH($G20&amp;CE$3,'Tarieven ZM'!$B:$B,0))),0,INDEX('Tarieven ZM'!$G:$G,MATCH($G20&amp;CE$3,'Tarieven ZM'!$B:$B,0)))</f>
        <v>0</v>
      </c>
      <c r="CF20" s="134">
        <f>IF(ISNA(INDEX('Tarieven ZM'!$G:$G,MATCH($G20&amp;CF$3,'Tarieven ZM'!$B:$B,0))),0,INDEX('Tarieven ZM'!$G:$G,MATCH($G20&amp;CF$3,'Tarieven ZM'!$B:$B,0)))</f>
        <v>100</v>
      </c>
      <c r="CG20" s="134">
        <f>IF(ISNA(INDEX('Tarieven ZM'!$G:$G,MATCH($G20&amp;CG$3,'Tarieven ZM'!$B:$B,0))),0,INDEX('Tarieven ZM'!$G:$G,MATCH($G20&amp;CG$3,'Tarieven ZM'!$B:$B,0)))</f>
        <v>100</v>
      </c>
      <c r="CH20" s="134">
        <f>IF(ISNA(INDEX('Tarieven ZM'!$G:$G,MATCH($G20&amp;CH$3,'Tarieven ZM'!$B:$B,0))),0,INDEX('Tarieven ZM'!$G:$G,MATCH($G20&amp;CH$3,'Tarieven ZM'!$B:$B,0)))</f>
        <v>0</v>
      </c>
      <c r="CI20" s="134">
        <f>IF(ISNA(INDEX('Tarieven ZM'!$G:$G,MATCH($G20&amp;CI$3,'Tarieven ZM'!$B:$B,0))),0,INDEX('Tarieven ZM'!$G:$G,MATCH($G20&amp;CI$3,'Tarieven ZM'!$B:$B,0)))</f>
        <v>0</v>
      </c>
      <c r="CJ20" s="134">
        <f>IF(ISNA(INDEX('Tarieven ZM'!$G:$G,MATCH($G20&amp;CJ$3,'Tarieven ZM'!$B:$B,0))),0,INDEX('Tarieven ZM'!$G:$G,MATCH($G20&amp;CJ$3,'Tarieven ZM'!$B:$B,0)))</f>
        <v>0</v>
      </c>
      <c r="CK20" s="131">
        <f>IF(ISNA(INDEX('Tarieven ZM'!$G:$G,MATCH($G20&amp;CK$3,'Tarieven ZM'!$B:$B,0))),0,INDEX('Tarieven ZM'!$G:$G,MATCH($G20&amp;CK$3,'Tarieven ZM'!$B:$B,0)))</f>
        <v>0</v>
      </c>
      <c r="CL20" s="130">
        <f>IF(ISNA(INDEX('Tarieven ZM'!$H:$H,MATCH($G20&amp;CL$3,'Tarieven ZM'!$B:$B,0))),0,INDEX('Tarieven ZM'!$H:$H,MATCH($G20&amp;CL$3,'Tarieven ZM'!$B:$B,0)))</f>
        <v>1000</v>
      </c>
      <c r="CM20" s="134">
        <f>IF(ISNA(INDEX('Tarieven ZM'!$H:$H,MATCH($G20&amp;CM$3,'Tarieven ZM'!$B:$B,0))),0,INDEX('Tarieven ZM'!$H:$H,MATCH($G20&amp;CM$3,'Tarieven ZM'!$B:$B,0)))</f>
        <v>1000</v>
      </c>
      <c r="CN20" s="134">
        <f>IF(ISNA(INDEX('Tarieven ZM'!$H:$H,MATCH($G20&amp;CN$3,'Tarieven ZM'!$B:$B,0))),0,INDEX('Tarieven ZM'!$H:$H,MATCH($G20&amp;CN$3,'Tarieven ZM'!$B:$B,0)))</f>
        <v>1000</v>
      </c>
      <c r="CO20" s="134">
        <f>IF(ISNA(INDEX('Tarieven ZM'!$H:$H,MATCH($G20&amp;CO$3,'Tarieven ZM'!$B:$B,0))),0,INDEX('Tarieven ZM'!$H:$H,MATCH($G20&amp;CO$3,'Tarieven ZM'!$B:$B,0)))</f>
        <v>1000</v>
      </c>
      <c r="CP20" s="134">
        <f>IF(ISNA(INDEX('Tarieven ZM'!$H:$H,MATCH($G20&amp;CP$3,'Tarieven ZM'!$B:$B,0))),0,INDEX('Tarieven ZM'!$H:$H,MATCH($G20&amp;CP$3,'Tarieven ZM'!$B:$B,0)))</f>
        <v>1000</v>
      </c>
      <c r="CQ20" s="134">
        <f>IF(ISNA(INDEX('Tarieven ZM'!$H:$H,MATCH($G20&amp;CQ$3,'Tarieven ZM'!$B:$B,0))),0,INDEX('Tarieven ZM'!$H:$H,MATCH($G20&amp;CQ$3,'Tarieven ZM'!$B:$B,0)))</f>
        <v>1000</v>
      </c>
      <c r="CR20" s="134">
        <f>IF(ISNA(INDEX('Tarieven ZM'!$H:$H,MATCH($G20&amp;CR$3,'Tarieven ZM'!$B:$B,0))),0,INDEX('Tarieven ZM'!$H:$H,MATCH($G20&amp;CR$3,'Tarieven ZM'!$B:$B,0)))</f>
        <v>1000</v>
      </c>
      <c r="CS20" s="134">
        <f>IF(ISNA(INDEX('Tarieven ZM'!$H:$H,MATCH($G20&amp;CS$3,'Tarieven ZM'!$B:$B,0))),0,INDEX('Tarieven ZM'!$H:$H,MATCH($G20&amp;CS$3,'Tarieven ZM'!$B:$B,0)))</f>
        <v>1000</v>
      </c>
      <c r="CT20" s="134">
        <f>IF(ISNA(INDEX('Tarieven ZM'!$H:$H,MATCH($G20&amp;CT$3,'Tarieven ZM'!$B:$B,0))),0,INDEX('Tarieven ZM'!$H:$H,MATCH($G20&amp;CT$3,'Tarieven ZM'!$B:$B,0)))</f>
        <v>1000</v>
      </c>
      <c r="CU20" s="134">
        <f>IF(ISNA(INDEX('Tarieven ZM'!$H:$H,MATCH($G20&amp;CU$3,'Tarieven ZM'!$B:$B,0))),0,INDEX('Tarieven ZM'!$H:$H,MATCH($G20&amp;CU$3,'Tarieven ZM'!$B:$B,0)))</f>
        <v>1000</v>
      </c>
      <c r="CV20" s="134">
        <f>IF(ISNA(INDEX('Tarieven ZM'!$H:$H,MATCH($G20&amp;CV$3,'Tarieven ZM'!$B:$B,0))),0,INDEX('Tarieven ZM'!$H:$H,MATCH($G20&amp;CV$3,'Tarieven ZM'!$B:$B,0)))</f>
        <v>1000</v>
      </c>
      <c r="CW20" s="134">
        <f>IF(ISNA(INDEX('Tarieven ZM'!$H:$H,MATCH($G20&amp;CW$3,'Tarieven ZM'!$B:$B,0))),0,INDEX('Tarieven ZM'!$H:$H,MATCH($G20&amp;CW$3,'Tarieven ZM'!$B:$B,0)))</f>
        <v>1000</v>
      </c>
      <c r="CX20" s="134">
        <f>IF(ISNA(INDEX('Tarieven ZM'!$H:$H,MATCH($G20&amp;CX$3,'Tarieven ZM'!$B:$B,0))),0,INDEX('Tarieven ZM'!$H:$H,MATCH($G20&amp;CX$3,'Tarieven ZM'!$B:$B,0)))</f>
        <v>1000</v>
      </c>
      <c r="CY20" s="134">
        <f>IF(ISNA(INDEX('Tarieven ZM'!$H:$H,MATCH($G20&amp;CY$3,'Tarieven ZM'!$B:$B,0))),0,INDEX('Tarieven ZM'!$H:$H,MATCH($G20&amp;CY$3,'Tarieven ZM'!$B:$B,0)))</f>
        <v>1000</v>
      </c>
      <c r="CZ20" s="134">
        <f>IF(ISNA(INDEX('Tarieven ZM'!$H:$H,MATCH($G20&amp;CZ$3,'Tarieven ZM'!$B:$B,0))),0,INDEX('Tarieven ZM'!$H:$H,MATCH($G20&amp;CZ$3,'Tarieven ZM'!$B:$B,0)))</f>
        <v>1000</v>
      </c>
      <c r="DA20" s="134">
        <f>IF(ISNA(INDEX('Tarieven ZM'!$H:$H,MATCH($G20&amp;DA$3,'Tarieven ZM'!$B:$B,0))),0,INDEX('Tarieven ZM'!$H:$H,MATCH($G20&amp;DA$3,'Tarieven ZM'!$B:$B,0)))</f>
        <v>1000</v>
      </c>
      <c r="DB20" s="134">
        <f>IF(ISNA(INDEX('Tarieven ZM'!$H:$H,MATCH($G20&amp;DB$3,'Tarieven ZM'!$B:$B,0))),0,INDEX('Tarieven ZM'!$H:$H,MATCH($G20&amp;DB$3,'Tarieven ZM'!$B:$B,0)))</f>
        <v>1000</v>
      </c>
      <c r="DC20" s="134">
        <f>IF(ISNA(INDEX('Tarieven ZM'!$H:$H,MATCH($G20&amp;DC$3,'Tarieven ZM'!$B:$B,0))),0,INDEX('Tarieven ZM'!$H:$H,MATCH($G20&amp;DC$3,'Tarieven ZM'!$B:$B,0)))</f>
        <v>1000</v>
      </c>
      <c r="DD20" s="134">
        <f>IF(ISNA(INDEX('Tarieven ZM'!$H:$H,MATCH($G20&amp;DD$3,'Tarieven ZM'!$B:$B,0))),0,INDEX('Tarieven ZM'!$H:$H,MATCH($G20&amp;DD$3,'Tarieven ZM'!$B:$B,0)))</f>
        <v>1000</v>
      </c>
      <c r="DE20" s="134">
        <f>IF(ISNA(INDEX('Tarieven ZM'!$H:$H,MATCH($G20&amp;DE$3,'Tarieven ZM'!$B:$B,0))),0,INDEX('Tarieven ZM'!$H:$H,MATCH($G20&amp;DE$3,'Tarieven ZM'!$B:$B,0)))</f>
        <v>1000</v>
      </c>
      <c r="DF20" s="134">
        <f>IF(ISNA(INDEX('Tarieven ZM'!$H:$H,MATCH($G20&amp;DF$3,'Tarieven ZM'!$B:$B,0))),0,INDEX('Tarieven ZM'!$H:$H,MATCH($G20&amp;DF$3,'Tarieven ZM'!$B:$B,0)))</f>
        <v>1000</v>
      </c>
      <c r="DG20" s="134">
        <f>IF(ISNA(INDEX('Tarieven ZM'!$H:$H,MATCH($G20&amp;DG$3,'Tarieven ZM'!$B:$B,0))),0,INDEX('Tarieven ZM'!$H:$H,MATCH($G20&amp;DG$3,'Tarieven ZM'!$B:$B,0)))</f>
        <v>1000</v>
      </c>
      <c r="DH20" s="134">
        <f>IF(ISNA(INDEX('Tarieven ZM'!$H:$H,MATCH($G20&amp;DH$3,'Tarieven ZM'!$B:$B,0))),0,INDEX('Tarieven ZM'!$H:$H,MATCH($G20&amp;DH$3,'Tarieven ZM'!$B:$B,0)))</f>
        <v>1000</v>
      </c>
      <c r="DI20" s="134">
        <f>IF(ISNA(INDEX('Tarieven ZM'!$H:$H,MATCH($G20&amp;DI$3,'Tarieven ZM'!$B:$B,0))),0,INDEX('Tarieven ZM'!$H:$H,MATCH($G20&amp;DI$3,'Tarieven ZM'!$B:$B,0)))</f>
        <v>1000</v>
      </c>
      <c r="DJ20" s="131">
        <f>IF(ISNA(INDEX('Tarieven ZM'!$H:$H,MATCH($G20&amp;DJ$3,'Tarieven ZM'!$B:$B,0))),0,INDEX('Tarieven ZM'!$H:$H,MATCH($G20&amp;DJ$3,'Tarieven ZM'!$B:$B,0)))</f>
        <v>1000</v>
      </c>
      <c r="DK20" s="214">
        <f t="shared" si="6"/>
        <v>1401</v>
      </c>
      <c r="DL20" s="143">
        <f>SUMPRODUCT($X20:$AV20,CL20:DJ20)/Parameters!$B$9</f>
        <v>694.44444444444446</v>
      </c>
      <c r="DM20" s="218">
        <f t="shared" si="7"/>
        <v>2095.4444444444443</v>
      </c>
      <c r="DN20" s="130">
        <f>INDEX(WLR!$J:$J,MATCH(DN$4,WLR!$A:$A,0))</f>
        <v>10.39</v>
      </c>
      <c r="DO20" s="134">
        <f>INDEX(WLR!$J:$J,MATCH(DO$4,WLR!$A:$A,0))</f>
        <v>10.39</v>
      </c>
      <c r="DP20" s="134">
        <f>INDEX(WLR!$J:$J,MATCH(DP$4,WLR!$A:$A,0))</f>
        <v>62.94</v>
      </c>
      <c r="DQ20" s="134">
        <f>INDEX(WLR!$J:$J,MATCH(DQ$4,WLR!$A:$A,0))</f>
        <v>62.94</v>
      </c>
      <c r="DR20" s="134">
        <f>INDEX(WLR!$J:$J,MATCH(DR$4,WLR!$A:$A,0))</f>
        <v>494.44</v>
      </c>
      <c r="DS20" s="134">
        <f>INDEX(WLR!$J:$J,MATCH(DS$4,WLR!$A:$A,0))</f>
        <v>494.44</v>
      </c>
      <c r="DT20" s="134">
        <f>INDEX(WLR!$J:$J,MATCH(DT$4,WLR!$A:$A,0))</f>
        <v>3510.28</v>
      </c>
      <c r="DU20" s="134">
        <f>INDEX(WLR!$J:$J,MATCH(DU$4,WLR!$A:$A,0))</f>
        <v>1.19</v>
      </c>
      <c r="DV20" s="134">
        <f>INDEX(WLR!$J:$J,MATCH(DV$4,WLR!$A:$A,0))</f>
        <v>29.43</v>
      </c>
      <c r="DW20" s="134">
        <f>INDEX(WLR!$J:$J,MATCH(DW$4,WLR!$A:$A,0))</f>
        <v>192.45</v>
      </c>
      <c r="DX20" s="134">
        <f>INDEX(WLR!$J:$J,MATCH(DX$4,WLR!$A:$A,0))</f>
        <v>9.8000000000000007</v>
      </c>
      <c r="DY20" s="134">
        <f>INDEX(WLR!$J:$J,MATCH(DY$4,WLR!$A:$A,0))</f>
        <v>34.950000000000003</v>
      </c>
      <c r="DZ20" s="134">
        <f>INDEX(WLR!$J:$J,MATCH(DZ$4,WLR!$A:$A,0))</f>
        <v>34.950000000000003</v>
      </c>
      <c r="EA20" s="134">
        <f>INDEX(WLR!$J:$J,MATCH(EA$4,WLR!$A:$A,0))</f>
        <v>2.08</v>
      </c>
      <c r="EB20" s="134">
        <f>INDEX(WLR!$J:$J,MATCH(EB$4,WLR!$A:$A,0))</f>
        <v>1.97</v>
      </c>
      <c r="EC20" s="134">
        <f>INDEX(WLR!$J:$J,MATCH(EC$4,WLR!$A:$A,0))</f>
        <v>1.97</v>
      </c>
      <c r="ED20" s="134">
        <f>INDEX(WLR!$J:$J,MATCH(ED$4,WLR!$A:$A,0))</f>
        <v>0</v>
      </c>
      <c r="EE20" s="134">
        <f>INDEX(WLR!$J:$J,MATCH(EE$4,WLR!$A:$A,0))</f>
        <v>0</v>
      </c>
      <c r="EF20" s="134">
        <f>INDEX(WLR!$J:$J,MATCH(EF$4,WLR!$A:$A,0))</f>
        <v>0.96</v>
      </c>
      <c r="EG20" s="134">
        <f>INDEX(WLR!$J:$J,MATCH(EG$4,WLR!$A:$A,0))</f>
        <v>4.53</v>
      </c>
      <c r="EH20" s="134">
        <f>INDEX(WLR!$J:$J,MATCH(EH$4,WLR!$A:$A,0))</f>
        <v>4.53</v>
      </c>
      <c r="EI20" s="134">
        <f>INDEX(WLR!$J:$J,MATCH(EI$4,WLR!$A:$A,0))</f>
        <v>7.58</v>
      </c>
      <c r="EJ20" s="134">
        <f>INDEX(WLR!$J:$J,MATCH(EJ$4,WLR!$A:$A,0))</f>
        <v>31.11</v>
      </c>
      <c r="EK20" s="134">
        <f>INDEX(WLR!$J:$J,MATCH(EK$4,WLR!$A:$A,0))</f>
        <v>31.11</v>
      </c>
      <c r="EL20" s="131">
        <f>INDEX(WLR!$J:$J,MATCH(EL$4,WLR!$A:$A,0))</f>
        <v>0.96</v>
      </c>
      <c r="EM20" s="130">
        <f>INDEX(WLR!$I:$I,MATCH(EM$4,WLR!$A:$A,0))</f>
        <v>0</v>
      </c>
      <c r="EN20" s="134">
        <f>INDEX(WLR!$I:$I,MATCH(EN$4,WLR!$A:$A,0))</f>
        <v>16.21</v>
      </c>
      <c r="EO20" s="134">
        <f>INDEX(WLR!$I:$I,MATCH(EO$4,WLR!$A:$A,0))</f>
        <v>0</v>
      </c>
      <c r="EP20" s="134">
        <f>INDEX(WLR!$I:$I,MATCH(EP$4,WLR!$A:$A,0))</f>
        <v>16.21</v>
      </c>
      <c r="EQ20" s="134">
        <f>INDEX(WLR!$I:$I,MATCH(EQ$4,WLR!$A:$A,0))</f>
        <v>0</v>
      </c>
      <c r="ER20" s="134">
        <f>INDEX(WLR!$I:$I,MATCH(ER$4,WLR!$A:$A,0))</f>
        <v>16.21</v>
      </c>
      <c r="ES20" s="134">
        <f>INDEX(WLR!$I:$I,MATCH(ES$4,WLR!$A:$A,0))</f>
        <v>0</v>
      </c>
      <c r="ET20" s="134">
        <f>INDEX(WLR!$I:$I,MATCH(ET$4,WLR!$A:$A,0))</f>
        <v>82.82</v>
      </c>
      <c r="EU20" s="134">
        <f>INDEX(WLR!$I:$I,MATCH(EU$4,WLR!$A:$A,0))</f>
        <v>748.42</v>
      </c>
      <c r="EV20" s="134">
        <f>INDEX(WLR!$I:$I,MATCH(EV$4,WLR!$A:$A,0))</f>
        <v>1282.99</v>
      </c>
      <c r="EW20" s="134">
        <f>INDEX(WLR!$I:$I,MATCH(EW$4,WLR!$A:$A,0))</f>
        <v>16.21</v>
      </c>
      <c r="EX20" s="134">
        <f>INDEX(WLR!$I:$I,MATCH(EX$4,WLR!$A:$A,0))</f>
        <v>79.94</v>
      </c>
      <c r="EY20" s="134">
        <f>INDEX(WLR!$I:$I,MATCH(EY$4,WLR!$A:$A,0))</f>
        <v>839.48</v>
      </c>
      <c r="EZ20" s="134">
        <f>INDEX(WLR!$I:$I,MATCH(EZ$4,WLR!$A:$A,0))</f>
        <v>32.950000000000003</v>
      </c>
      <c r="FA20" s="134">
        <f>INDEX(WLR!$I:$I,MATCH(FA$4,WLR!$A:$A,0))</f>
        <v>16.21</v>
      </c>
      <c r="FB20" s="134">
        <f>INDEX(WLR!$I:$I,MATCH(FB$4,WLR!$A:$A,0))</f>
        <v>16.21</v>
      </c>
      <c r="FC20" s="134">
        <f>INDEX(WLR!$I:$I,MATCH(FC$4,WLR!$A:$A,0))</f>
        <v>0</v>
      </c>
      <c r="FD20" s="134">
        <f>INDEX(WLR!$I:$I,MATCH(FD$4,WLR!$A:$A,0))</f>
        <v>15.73</v>
      </c>
      <c r="FE20" s="134">
        <f>INDEX(WLR!$I:$I,MATCH(FE$4,WLR!$A:$A,0))</f>
        <v>0</v>
      </c>
      <c r="FF20" s="134">
        <f>INDEX(WLR!$I:$I,MATCH(FF$4,WLR!$A:$A,0))</f>
        <v>0</v>
      </c>
      <c r="FG20" s="134">
        <f>INDEX(WLR!$I:$I,MATCH(FG$4,WLR!$A:$A,0))</f>
        <v>0</v>
      </c>
      <c r="FH20" s="134">
        <f>INDEX(WLR!$I:$I,MATCH(FH$4,WLR!$A:$A,0))</f>
        <v>15.73</v>
      </c>
      <c r="FI20" s="134">
        <f>INDEX(WLR!$I:$I,MATCH(FI$4,WLR!$A:$A,0))</f>
        <v>40.06</v>
      </c>
      <c r="FJ20" s="134">
        <f>INDEX(WLR!$I:$I,MATCH(FJ$4,WLR!$A:$A,0))</f>
        <v>40.06</v>
      </c>
      <c r="FK20" s="131">
        <f>INDEX(WLR!$I:$I,MATCH(FK$4,WLR!$A:$A,0))</f>
        <v>0</v>
      </c>
      <c r="FL20" s="220">
        <f>SUMPRODUCT(X20:AV20,DN20:EL20)+V20*(1-Parameters!$B$52)</f>
        <v>5036.1899999999987</v>
      </c>
      <c r="FM20" s="215">
        <f>SUMPRODUCT(X20:AV20,EM20:FK20)/Parameters!$B$9</f>
        <v>90.984444444444435</v>
      </c>
      <c r="FN20" s="139">
        <f t="shared" si="8"/>
        <v>5127.174444444443</v>
      </c>
      <c r="FO20" s="151">
        <f>DM20*Parameters!$B$3</f>
        <v>209.54444444444445</v>
      </c>
      <c r="FP20" s="143">
        <f>IF(LEFT(G20,3)="KPN",(('Vergoedingen grondslag'!$F$11+'Vergoedingen grondslag'!$I$11+'Vergoedingen grondslag'!$L$11+'Vergoedingen grondslag'!$O$11)*DK20)+('Vergoedingen grondslag'!$O$11*DL20+'Vergoedingen grondslag'!$R$11*0+'Vergoedingen grondslag'!$U$11+'Vergoedingen grondslag'!$X$11)/36,(('Vergoedingen grondslag'!$F$20+'Vergoedingen grondslag'!$I$20+'Vergoedingen grondslag'!$L$20+'Vergoedingen grondslag'!$O$20)*DK20)+('Vergoedingen grondslag'!$O$20*DL20+'Vergoedingen grondslag'!$R$20*0+'Vergoedingen grondslag'!$U$20*0)/36)</f>
        <v>56.232901234567898</v>
      </c>
      <c r="FQ20" s="134"/>
      <c r="FR20" s="218">
        <f t="shared" si="9"/>
        <v>265.77734567901234</v>
      </c>
      <c r="FS20" s="237">
        <f t="shared" si="10"/>
        <v>5392.9517901234558</v>
      </c>
      <c r="FT20" s="220">
        <f t="shared" si="1"/>
        <v>3170.1894279320986</v>
      </c>
      <c r="FU20" s="146">
        <f t="shared" si="2"/>
        <v>0.47172318053351114</v>
      </c>
      <c r="FV20" s="131" t="b">
        <f t="shared" si="11"/>
        <v>0</v>
      </c>
      <c r="FW20" s="331" t="s">
        <v>868</v>
      </c>
    </row>
    <row r="22" spans="2:179">
      <c r="DM22" s="180"/>
    </row>
  </sheetData>
  <autoFilter ref="A3:FV20"/>
  <mergeCells count="2">
    <mergeCell ref="FO2:FR2"/>
    <mergeCell ref="FT2:FV2"/>
  </mergeCells>
  <conditionalFormatting sqref="FW4:FW20">
    <cfRule type="containsText" dxfId="13" priority="1" operator="containsText" text="nee">
      <formula>NOT(ISERROR(SEARCH("nee",FW4)))</formula>
    </cfRule>
    <cfRule type="containsText" dxfId="12" priority="2" operator="containsText" text="ja">
      <formula>NOT(ISERROR(SEARCH("ja",FW4)))</formula>
    </cfRule>
  </conditionalFormatting>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5"/>
  <dimension ref="A1:AO56"/>
  <sheetViews>
    <sheetView workbookViewId="0">
      <selection activeCell="A7" sqref="A7"/>
    </sheetView>
  </sheetViews>
  <sheetFormatPr defaultColWidth="9.109375" defaultRowHeight="12"/>
  <cols>
    <col min="1" max="1" width="49.33203125" style="4" bestFit="1" customWidth="1"/>
    <col min="2" max="2" width="26" style="4" bestFit="1" customWidth="1"/>
    <col min="3" max="3" width="35.44140625" style="4" bestFit="1" customWidth="1"/>
    <col min="4" max="4" width="21.6640625" style="4" bestFit="1" customWidth="1"/>
    <col min="5" max="6" width="9.109375" style="4"/>
    <col min="7" max="7" width="16.109375" style="4" bestFit="1" customWidth="1"/>
    <col min="8" max="10" width="16.109375" style="4" customWidth="1"/>
    <col min="11" max="11" width="55.6640625" style="4" bestFit="1" customWidth="1"/>
    <col min="12" max="12" width="40.109375" style="4" bestFit="1" customWidth="1"/>
    <col min="13" max="14" width="40.109375" style="4" customWidth="1"/>
    <col min="15" max="15" width="5.109375" style="4" customWidth="1"/>
    <col min="16" max="16" width="12.5546875" style="4" bestFit="1" customWidth="1"/>
    <col min="17" max="18" width="9.109375" style="4"/>
    <col min="19" max="19" width="7.109375" style="4" customWidth="1"/>
    <col min="20" max="20" width="10.33203125" style="4" customWidth="1"/>
    <col min="21" max="21" width="11.44140625" style="4" bestFit="1" customWidth="1"/>
    <col min="22" max="22" width="11.44140625" style="4" customWidth="1"/>
    <col min="23" max="23" width="10" style="4" bestFit="1" customWidth="1"/>
    <col min="24" max="24" width="9.109375" style="4"/>
    <col min="25" max="25" width="10.44140625" style="4" customWidth="1"/>
    <col min="26" max="26" width="10.5546875" style="4" bestFit="1" customWidth="1"/>
    <col min="27" max="27" width="10.5546875" style="4" customWidth="1"/>
    <col min="28" max="28" width="9.5546875" style="4" customWidth="1"/>
    <col min="29" max="29" width="9.109375" style="4"/>
    <col min="30" max="30" width="9.44140625" style="4" bestFit="1" customWidth="1"/>
    <col min="31" max="31" width="9.109375" style="4"/>
    <col min="32" max="32" width="24" style="4" customWidth="1"/>
    <col min="33" max="33" width="11.88671875" style="4" customWidth="1"/>
    <col min="34" max="34" width="9.109375" style="4"/>
    <col min="35" max="35" width="10.33203125" style="4" customWidth="1"/>
    <col min="36" max="38" width="9.109375" style="4"/>
    <col min="39" max="39" width="4" style="4" customWidth="1"/>
    <col min="40" max="40" width="11.33203125" style="4" customWidth="1"/>
    <col min="41" max="16384" width="9.109375" style="4"/>
  </cols>
  <sheetData>
    <row r="1" spans="1:41" ht="12.6" thickBot="1">
      <c r="C1" s="118" t="s">
        <v>605</v>
      </c>
      <c r="AG1" s="448" t="s">
        <v>1223</v>
      </c>
      <c r="AH1" s="96"/>
      <c r="AI1" s="96"/>
      <c r="AJ1" s="96"/>
      <c r="AK1" s="96"/>
      <c r="AL1" s="96"/>
      <c r="AM1" s="96"/>
      <c r="AN1" s="96"/>
      <c r="AO1" s="96"/>
    </row>
    <row r="2" spans="1:41" ht="15" thickBot="1">
      <c r="C2" s="118" t="s">
        <v>604</v>
      </c>
      <c r="K2" s="118" t="s">
        <v>606</v>
      </c>
      <c r="L2" s="118"/>
      <c r="M2" s="118"/>
      <c r="N2" s="118"/>
      <c r="P2" s="1086" t="s">
        <v>609</v>
      </c>
      <c r="Q2" s="1087"/>
      <c r="R2" s="1088"/>
      <c r="T2" s="1082" t="s">
        <v>612</v>
      </c>
      <c r="U2" s="1083"/>
      <c r="V2" s="1083"/>
      <c r="W2" s="1084"/>
      <c r="Y2" s="1082" t="s">
        <v>616</v>
      </c>
      <c r="Z2" s="1083"/>
      <c r="AA2" s="1083"/>
      <c r="AB2" s="1085"/>
      <c r="AC2" s="1085"/>
      <c r="AD2" s="1084"/>
      <c r="AG2" s="1089" t="s">
        <v>612</v>
      </c>
      <c r="AH2" s="1090"/>
      <c r="AI2" s="1089" t="s">
        <v>616</v>
      </c>
      <c r="AJ2" s="1091"/>
      <c r="AK2" s="1091"/>
      <c r="AL2" s="1090"/>
      <c r="AM2" s="96"/>
      <c r="AN2" s="96" t="s">
        <v>1227</v>
      </c>
      <c r="AO2" s="96"/>
    </row>
    <row r="3" spans="1:41" ht="49.5" customHeight="1" thickBot="1">
      <c r="A3" s="184" t="s">
        <v>876</v>
      </c>
      <c r="B3" s="184" t="s">
        <v>723</v>
      </c>
      <c r="C3" s="184" t="s">
        <v>7</v>
      </c>
      <c r="D3" s="185" t="s">
        <v>467</v>
      </c>
      <c r="E3" s="185" t="s">
        <v>489</v>
      </c>
      <c r="F3" s="185" t="s">
        <v>669</v>
      </c>
      <c r="G3" s="185" t="s">
        <v>437</v>
      </c>
      <c r="H3" s="184" t="s">
        <v>724</v>
      </c>
      <c r="I3" s="185" t="s">
        <v>725</v>
      </c>
      <c r="J3" s="186" t="s">
        <v>726</v>
      </c>
      <c r="K3" s="195" t="s">
        <v>607</v>
      </c>
      <c r="L3" s="272" t="s">
        <v>608</v>
      </c>
      <c r="M3" s="272" t="s">
        <v>729</v>
      </c>
      <c r="N3" s="272" t="s">
        <v>730</v>
      </c>
      <c r="P3" s="187" t="s">
        <v>610</v>
      </c>
      <c r="Q3" s="195" t="s">
        <v>611</v>
      </c>
      <c r="R3" s="188" t="s">
        <v>727</v>
      </c>
      <c r="T3" s="187" t="s">
        <v>613</v>
      </c>
      <c r="U3" s="195" t="s">
        <v>614</v>
      </c>
      <c r="V3" s="195" t="s">
        <v>728</v>
      </c>
      <c r="W3" s="188" t="s">
        <v>615</v>
      </c>
      <c r="Y3" s="187" t="s">
        <v>877</v>
      </c>
      <c r="Z3" s="195" t="s">
        <v>671</v>
      </c>
      <c r="AA3" s="195" t="s">
        <v>728</v>
      </c>
      <c r="AB3" s="187" t="s">
        <v>878</v>
      </c>
      <c r="AC3" s="195" t="s">
        <v>483</v>
      </c>
      <c r="AD3" s="188" t="s">
        <v>484</v>
      </c>
      <c r="AE3" s="330" t="s">
        <v>867</v>
      </c>
      <c r="AG3" s="963" t="s">
        <v>613</v>
      </c>
      <c r="AH3" s="964" t="s">
        <v>615</v>
      </c>
      <c r="AI3" s="965" t="s">
        <v>877</v>
      </c>
      <c r="AJ3" s="965" t="s">
        <v>878</v>
      </c>
      <c r="AK3" s="966" t="s">
        <v>483</v>
      </c>
      <c r="AL3" s="967" t="s">
        <v>484</v>
      </c>
      <c r="AM3" s="96"/>
      <c r="AN3" s="965" t="s">
        <v>1225</v>
      </c>
      <c r="AO3" s="968" t="s">
        <v>1226</v>
      </c>
    </row>
    <row r="4" spans="1:41" ht="18" customHeight="1">
      <c r="A4" s="4" t="str">
        <f t="shared" ref="A4:A7" si="0">C4&amp;" "&amp;D4&amp;" "&amp;E4&amp;" "&amp;G4</f>
        <v>KPN BelBasis CM PSTN  VVE nieuwe aanleg</v>
      </c>
      <c r="B4" s="4" t="str">
        <f t="shared" ref="B4:B7" si="1">C4&amp;D4</f>
        <v>KPN BelBasis CMPSTN</v>
      </c>
      <c r="C4" s="189" t="s">
        <v>1134</v>
      </c>
      <c r="D4" s="285" t="s">
        <v>463</v>
      </c>
      <c r="E4" s="250"/>
      <c r="F4" s="250"/>
      <c r="G4" s="133" t="s">
        <v>458</v>
      </c>
      <c r="H4" s="189"/>
      <c r="I4" s="133"/>
      <c r="J4" s="190"/>
      <c r="K4" s="133" t="str">
        <f t="shared" ref="K4:K7" si="2">C4&amp;D4&amp;E4&amp;G4</f>
        <v>KPN BelBasis CMPSTNVVE nieuwe aanleg</v>
      </c>
      <c r="L4" s="133" t="str">
        <f t="shared" ref="L4:L7" si="3">C4&amp;SUBSTITUTE(D4,"ISDN30 eerste aansluiting","ISDN30")&amp;E4&amp;F4</f>
        <v>KPN BelBasis CMPSTN</v>
      </c>
      <c r="M4" s="329"/>
      <c r="N4" s="329"/>
      <c r="P4" s="193">
        <f>MATCH(K4,'Rekenblad Aansluiting'!A:A,0)</f>
        <v>22</v>
      </c>
      <c r="Q4" s="206">
        <f>MATCH(L4,'Rekenblad Verkeer'!A:A,0)</f>
        <v>4</v>
      </c>
      <c r="R4" s="194"/>
      <c r="T4" s="191">
        <f>INDEX('Rekenblad Aansluiting'!O:O,'Rekenblad combi'!P4)</f>
        <v>102.77777777777777</v>
      </c>
      <c r="U4" s="142">
        <f>INDEX('Rekenblad Verkeer'!AG:AG,'Rekenblad combi'!Q4)</f>
        <v>40</v>
      </c>
      <c r="V4" s="142"/>
      <c r="W4" s="192">
        <f t="shared" ref="W4:W7" si="4">T4+U4</f>
        <v>142.77777777777777</v>
      </c>
      <c r="Y4" s="191">
        <f>INDEX('Rekenblad Aansluiting'!X:X,'Rekenblad combi'!P4)</f>
        <v>81.129078061111102</v>
      </c>
      <c r="Z4" s="142">
        <f>INDEX('Rekenblad Verkeer'!AR:AR,'Rekenblad combi'!Q4)</f>
        <v>11.765779444444444</v>
      </c>
      <c r="AA4" s="142"/>
      <c r="AB4" s="191">
        <f t="shared" ref="AB4:AB7" si="5">Y4+Z4+AA4</f>
        <v>92.894857505555549</v>
      </c>
      <c r="AC4" s="145">
        <f t="shared" ref="AC4:AC7" si="6">AB4/W4</f>
        <v>0.65062546112840469</v>
      </c>
      <c r="AD4" s="190" t="b">
        <f t="shared" ref="AD4:AD7" si="7">AB4&lt;0</f>
        <v>0</v>
      </c>
      <c r="AE4" s="331" t="s">
        <v>868</v>
      </c>
      <c r="AG4" s="189"/>
      <c r="AH4" s="192"/>
      <c r="AI4" s="776"/>
      <c r="AJ4" s="191"/>
      <c r="AK4" s="145"/>
      <c r="AL4" s="190"/>
      <c r="AN4" s="189"/>
      <c r="AO4" s="194"/>
    </row>
    <row r="5" spans="1:41" ht="18" customHeight="1">
      <c r="A5" s="4" t="str">
        <f t="shared" si="0"/>
        <v>KPN BelVrij Weekend CM PSTN  VVE nieuwe aanleg</v>
      </c>
      <c r="B5" s="4" t="str">
        <f t="shared" si="1"/>
        <v>KPN BelVrij Weekend CMPSTN</v>
      </c>
      <c r="C5" s="189" t="s">
        <v>1277</v>
      </c>
      <c r="D5" s="285" t="s">
        <v>463</v>
      </c>
      <c r="E5" s="250"/>
      <c r="F5" s="250"/>
      <c r="G5" s="133" t="s">
        <v>458</v>
      </c>
      <c r="H5" s="189"/>
      <c r="I5" s="133"/>
      <c r="J5" s="190"/>
      <c r="K5" s="133" t="str">
        <f t="shared" si="2"/>
        <v>KPN BelVrij Weekend CMPSTNVVE nieuwe aanleg</v>
      </c>
      <c r="L5" s="133" t="str">
        <f t="shared" si="3"/>
        <v>KPN BelVrij Weekend CMPSTN</v>
      </c>
      <c r="M5" s="329"/>
      <c r="N5" s="329"/>
      <c r="P5" s="193">
        <f>MATCH(K5,'Rekenblad Aansluiting'!A:A,0)</f>
        <v>4</v>
      </c>
      <c r="Q5" s="206">
        <f>MATCH(L5,'Rekenblad Verkeer'!A:A,0)</f>
        <v>5</v>
      </c>
      <c r="R5" s="194"/>
      <c r="T5" s="191">
        <f>INDEX('Rekenblad Aansluiting'!O:O,'Rekenblad combi'!P5)</f>
        <v>102.77777777777777</v>
      </c>
      <c r="U5" s="142">
        <f>INDEX('Rekenblad Verkeer'!AG:AG,'Rekenblad combi'!Q5)</f>
        <v>0</v>
      </c>
      <c r="V5" s="142"/>
      <c r="W5" s="192">
        <f t="shared" si="4"/>
        <v>102.77777777777777</v>
      </c>
      <c r="Y5" s="191">
        <f>INDEX('Rekenblad Aansluiting'!X:X,'Rekenblad combi'!P5)</f>
        <v>81.129078061111102</v>
      </c>
      <c r="Z5" s="142">
        <f>INDEX('Rekenblad Verkeer'!AR:AR,'Rekenblad combi'!Q5)</f>
        <v>-22.634220555555558</v>
      </c>
      <c r="AA5" s="142"/>
      <c r="AB5" s="191">
        <f t="shared" si="5"/>
        <v>58.494857505555544</v>
      </c>
      <c r="AC5" s="145">
        <f t="shared" si="6"/>
        <v>0.569139154108108</v>
      </c>
      <c r="AD5" s="190" t="b">
        <f t="shared" si="7"/>
        <v>0</v>
      </c>
      <c r="AE5" s="331" t="s">
        <v>868</v>
      </c>
      <c r="AG5" s="189"/>
      <c r="AH5" s="192"/>
      <c r="AI5" s="776"/>
      <c r="AJ5" s="191"/>
      <c r="AK5" s="145"/>
      <c r="AL5" s="190"/>
      <c r="AN5" s="189"/>
      <c r="AO5" s="194"/>
    </row>
    <row r="6" spans="1:41" ht="18" customHeight="1">
      <c r="A6" s="4" t="str">
        <f t="shared" si="0"/>
        <v>KPN BelVrij Avond&amp;Weekend CM PSTN  VVE nieuwe aanleg</v>
      </c>
      <c r="B6" s="4" t="str">
        <f t="shared" si="1"/>
        <v>KPN BelVrij Avond&amp;Weekend CMPSTN</v>
      </c>
      <c r="C6" s="189" t="s">
        <v>1278</v>
      </c>
      <c r="D6" s="285" t="s">
        <v>463</v>
      </c>
      <c r="E6" s="250"/>
      <c r="F6" s="250"/>
      <c r="G6" s="133" t="s">
        <v>458</v>
      </c>
      <c r="H6" s="189"/>
      <c r="I6" s="133"/>
      <c r="J6" s="190"/>
      <c r="K6" s="133" t="str">
        <f t="shared" si="2"/>
        <v>KPN BelVrij Avond&amp;Weekend CMPSTNVVE nieuwe aanleg</v>
      </c>
      <c r="L6" s="133" t="str">
        <f t="shared" si="3"/>
        <v>KPN BelVrij Avond&amp;Weekend CMPSTN</v>
      </c>
      <c r="M6" s="329"/>
      <c r="N6" s="329"/>
      <c r="P6" s="193">
        <f>MATCH(K6,'Rekenblad Aansluiting'!A:A,0)</f>
        <v>7</v>
      </c>
      <c r="Q6" s="206">
        <f>MATCH(L6,'Rekenblad Verkeer'!A:A,0)</f>
        <v>6</v>
      </c>
      <c r="R6" s="194"/>
      <c r="T6" s="191">
        <f>INDEX('Rekenblad Aansluiting'!O:O,'Rekenblad combi'!P6)</f>
        <v>102.77777777777777</v>
      </c>
      <c r="U6" s="142">
        <f>INDEX('Rekenblad Verkeer'!AG:AG,'Rekenblad combi'!Q6)</f>
        <v>0</v>
      </c>
      <c r="V6" s="142"/>
      <c r="W6" s="192">
        <f t="shared" si="4"/>
        <v>102.77777777777777</v>
      </c>
      <c r="Y6" s="191">
        <f>INDEX('Rekenblad Aansluiting'!X:X,'Rekenblad combi'!P6)</f>
        <v>81.129078061111102</v>
      </c>
      <c r="Z6" s="142">
        <f>INDEX('Rekenblad Verkeer'!AR:AR,'Rekenblad combi'!Q6)</f>
        <v>-22.634220555555558</v>
      </c>
      <c r="AA6" s="142"/>
      <c r="AB6" s="191">
        <f t="shared" si="5"/>
        <v>58.494857505555544</v>
      </c>
      <c r="AC6" s="145">
        <f t="shared" si="6"/>
        <v>0.569139154108108</v>
      </c>
      <c r="AD6" s="190" t="b">
        <f t="shared" si="7"/>
        <v>0</v>
      </c>
      <c r="AE6" s="331" t="s">
        <v>868</v>
      </c>
      <c r="AG6" s="189"/>
      <c r="AH6" s="192"/>
      <c r="AI6" s="776"/>
      <c r="AJ6" s="191"/>
      <c r="AK6" s="145"/>
      <c r="AL6" s="190"/>
      <c r="AN6" s="189"/>
      <c r="AO6" s="194"/>
    </row>
    <row r="7" spans="1:41" ht="18" customHeight="1">
      <c r="A7" s="4" t="str">
        <f t="shared" si="0"/>
        <v>KPN BelVrij Altijd CM PSTN  VVE nieuwe aanleg</v>
      </c>
      <c r="B7" s="4" t="str">
        <f t="shared" si="1"/>
        <v>KPN BelVrij Altijd CMPSTN</v>
      </c>
      <c r="C7" s="189" t="s">
        <v>1279</v>
      </c>
      <c r="D7" s="285" t="s">
        <v>463</v>
      </c>
      <c r="E7" s="250"/>
      <c r="F7" s="250"/>
      <c r="G7" s="133" t="s">
        <v>458</v>
      </c>
      <c r="H7" s="189"/>
      <c r="I7" s="133"/>
      <c r="J7" s="190"/>
      <c r="K7" s="133" t="str">
        <f t="shared" si="2"/>
        <v>KPN BelVrij Altijd CMPSTNVVE nieuwe aanleg</v>
      </c>
      <c r="L7" s="133" t="str">
        <f t="shared" si="3"/>
        <v>KPN BelVrij Altijd CMPSTN</v>
      </c>
      <c r="M7" s="329"/>
      <c r="N7" s="329"/>
      <c r="P7" s="193">
        <f>MATCH(K7,'Rekenblad Aansluiting'!A:A,0)</f>
        <v>10</v>
      </c>
      <c r="Q7" s="206">
        <f>MATCH(L7,'Rekenblad Verkeer'!A:A,0)</f>
        <v>7</v>
      </c>
      <c r="R7" s="194"/>
      <c r="T7" s="191">
        <f>INDEX('Rekenblad Aansluiting'!O:O,'Rekenblad combi'!P7)</f>
        <v>102.77777777777777</v>
      </c>
      <c r="U7" s="142">
        <f>INDEX('Rekenblad Verkeer'!AG:AG,'Rekenblad combi'!Q7)</f>
        <v>0</v>
      </c>
      <c r="V7" s="142"/>
      <c r="W7" s="192">
        <f t="shared" si="4"/>
        <v>102.77777777777777</v>
      </c>
      <c r="Y7" s="191">
        <f>INDEX('Rekenblad Aansluiting'!X:X,'Rekenblad combi'!P7)</f>
        <v>81.129078061111102</v>
      </c>
      <c r="Z7" s="142">
        <f>INDEX('Rekenblad Verkeer'!AR:AR,'Rekenblad combi'!Q7)</f>
        <v>-22.634220555555558</v>
      </c>
      <c r="AA7" s="142"/>
      <c r="AB7" s="191">
        <f t="shared" si="5"/>
        <v>58.494857505555544</v>
      </c>
      <c r="AC7" s="145">
        <f t="shared" si="6"/>
        <v>0.569139154108108</v>
      </c>
      <c r="AD7" s="190" t="b">
        <f t="shared" si="7"/>
        <v>0</v>
      </c>
      <c r="AE7" s="331" t="s">
        <v>868</v>
      </c>
      <c r="AG7" s="189"/>
      <c r="AH7" s="192"/>
      <c r="AI7" s="776"/>
      <c r="AJ7" s="191"/>
      <c r="AK7" s="145"/>
      <c r="AL7" s="190"/>
      <c r="AN7" s="189"/>
      <c r="AO7" s="194"/>
    </row>
    <row r="8" spans="1:41" ht="18" customHeight="1">
      <c r="A8" s="4" t="str">
        <f t="shared" ref="A8:A11" si="8">C8&amp;" "&amp;D8&amp;" "&amp;E8&amp;" "&amp;G8</f>
        <v>KPN BelBasis CM PSTN  VVE overstap</v>
      </c>
      <c r="B8" s="4" t="str">
        <f t="shared" ref="B8:B11" si="9">C8&amp;D8</f>
        <v>KPN BelBasis CMPSTN</v>
      </c>
      <c r="C8" s="189" t="s">
        <v>1134</v>
      </c>
      <c r="D8" s="285" t="s">
        <v>463</v>
      </c>
      <c r="E8" s="250"/>
      <c r="F8" s="250"/>
      <c r="G8" s="133" t="s">
        <v>459</v>
      </c>
      <c r="H8" s="189"/>
      <c r="I8" s="133"/>
      <c r="J8" s="190"/>
      <c r="K8" s="133" t="str">
        <f t="shared" ref="K8:K11" si="10">C8&amp;D8&amp;E8&amp;G8</f>
        <v>KPN BelBasis CMPSTNVVE overstap</v>
      </c>
      <c r="L8" s="133" t="str">
        <f t="shared" ref="L8:L11" si="11">C8&amp;SUBSTITUTE(D8,"ISDN30 eerste aansluiting","ISDN30")&amp;E8&amp;F8</f>
        <v>KPN BelBasis CMPSTN</v>
      </c>
      <c r="M8" s="329"/>
      <c r="N8" s="329"/>
      <c r="P8" s="193">
        <f>MATCH(K8,'Rekenblad Aansluiting'!A:A,0)</f>
        <v>25</v>
      </c>
      <c r="Q8" s="206">
        <f>MATCH(L8,'Rekenblad Verkeer'!A:A,0)</f>
        <v>4</v>
      </c>
      <c r="R8" s="194"/>
      <c r="T8" s="191">
        <f>INDEX('Rekenblad Aansluiting'!O:O,'Rekenblad combi'!P8)</f>
        <v>102.77777777777777</v>
      </c>
      <c r="U8" s="142">
        <f>INDEX('Rekenblad Verkeer'!AG:AG,'Rekenblad combi'!Q8)</f>
        <v>40</v>
      </c>
      <c r="V8" s="142"/>
      <c r="W8" s="192">
        <f t="shared" ref="W8:W11" si="12">T8+U8</f>
        <v>142.77777777777777</v>
      </c>
      <c r="Y8" s="191">
        <f>INDEX('Rekenblad Aansluiting'!X:X,'Rekenblad combi'!P8)</f>
        <v>82.72907806111111</v>
      </c>
      <c r="Z8" s="142">
        <f>INDEX('Rekenblad Verkeer'!AR:AR,'Rekenblad combi'!Q8)</f>
        <v>11.765779444444444</v>
      </c>
      <c r="AA8" s="142"/>
      <c r="AB8" s="191">
        <f t="shared" ref="AB8:AB11" si="13">Y8+Z8+AA8</f>
        <v>94.494857505555558</v>
      </c>
      <c r="AC8" s="145">
        <f t="shared" ref="AC8:AC11" si="14">AB8/W8</f>
        <v>0.66183168680933857</v>
      </c>
      <c r="AD8" s="190" t="b">
        <f t="shared" ref="AD8:AD11" si="15">AB8&lt;0</f>
        <v>0</v>
      </c>
      <c r="AE8" s="331" t="s">
        <v>868</v>
      </c>
      <c r="AG8" s="189"/>
      <c r="AH8" s="192"/>
      <c r="AI8" s="776"/>
      <c r="AJ8" s="191"/>
      <c r="AK8" s="145"/>
      <c r="AL8" s="190"/>
      <c r="AN8" s="189"/>
      <c r="AO8" s="194"/>
    </row>
    <row r="9" spans="1:41" ht="18" customHeight="1">
      <c r="A9" s="4" t="str">
        <f t="shared" si="8"/>
        <v>KPN BelVrij Weekend CM PSTN  VVE overstap</v>
      </c>
      <c r="B9" s="4" t="str">
        <f t="shared" si="9"/>
        <v>KPN BelVrij Weekend CMPSTN</v>
      </c>
      <c r="C9" s="189" t="s">
        <v>1277</v>
      </c>
      <c r="D9" s="285" t="s">
        <v>463</v>
      </c>
      <c r="E9" s="250"/>
      <c r="F9" s="250"/>
      <c r="G9" s="133" t="s">
        <v>459</v>
      </c>
      <c r="H9" s="189"/>
      <c r="I9" s="133"/>
      <c r="J9" s="190"/>
      <c r="K9" s="133" t="str">
        <f t="shared" si="10"/>
        <v>KPN BelVrij Weekend CMPSTNVVE overstap</v>
      </c>
      <c r="L9" s="133" t="str">
        <f t="shared" si="11"/>
        <v>KPN BelVrij Weekend CMPSTN</v>
      </c>
      <c r="M9" s="329"/>
      <c r="N9" s="329"/>
      <c r="P9" s="193">
        <f>MATCH(K9,'Rekenblad Aansluiting'!A:A,0)</f>
        <v>13</v>
      </c>
      <c r="Q9" s="206">
        <f>MATCH(L9,'Rekenblad Verkeer'!A:A,0)</f>
        <v>5</v>
      </c>
      <c r="R9" s="194"/>
      <c r="T9" s="191">
        <f>INDEX('Rekenblad Aansluiting'!O:O,'Rekenblad combi'!P9)</f>
        <v>102.77777777777777</v>
      </c>
      <c r="U9" s="142">
        <f>INDEX('Rekenblad Verkeer'!AG:AG,'Rekenblad combi'!Q9)</f>
        <v>0</v>
      </c>
      <c r="V9" s="142"/>
      <c r="W9" s="192">
        <f t="shared" si="12"/>
        <v>102.77777777777777</v>
      </c>
      <c r="Y9" s="191">
        <f>INDEX('Rekenblad Aansluiting'!X:X,'Rekenblad combi'!P9)</f>
        <v>82.72907806111111</v>
      </c>
      <c r="Z9" s="142">
        <f>INDEX('Rekenblad Verkeer'!AR:AR,'Rekenblad combi'!Q9)</f>
        <v>-22.634220555555558</v>
      </c>
      <c r="AA9" s="142"/>
      <c r="AB9" s="191">
        <f t="shared" si="13"/>
        <v>60.094857505555552</v>
      </c>
      <c r="AC9" s="145">
        <f t="shared" si="14"/>
        <v>0.58470672167567572</v>
      </c>
      <c r="AD9" s="190" t="b">
        <f t="shared" si="15"/>
        <v>0</v>
      </c>
      <c r="AE9" s="331" t="s">
        <v>868</v>
      </c>
      <c r="AG9" s="189"/>
      <c r="AH9" s="192"/>
      <c r="AI9" s="776"/>
      <c r="AJ9" s="191"/>
      <c r="AK9" s="145"/>
      <c r="AL9" s="190"/>
      <c r="AN9" s="189"/>
      <c r="AO9" s="194"/>
    </row>
    <row r="10" spans="1:41" ht="18" customHeight="1">
      <c r="A10" s="4" t="str">
        <f t="shared" si="8"/>
        <v>KPN BelVrij Avond&amp;Weekend CM PSTN  VVE overstap</v>
      </c>
      <c r="B10" s="4" t="str">
        <f t="shared" si="9"/>
        <v>KPN BelVrij Avond&amp;Weekend CMPSTN</v>
      </c>
      <c r="C10" s="189" t="s">
        <v>1278</v>
      </c>
      <c r="D10" s="285" t="s">
        <v>463</v>
      </c>
      <c r="E10" s="250"/>
      <c r="F10" s="250"/>
      <c r="G10" s="133" t="s">
        <v>459</v>
      </c>
      <c r="H10" s="189"/>
      <c r="I10" s="133"/>
      <c r="J10" s="190"/>
      <c r="K10" s="133" t="str">
        <f t="shared" si="10"/>
        <v>KPN BelVrij Avond&amp;Weekend CMPSTNVVE overstap</v>
      </c>
      <c r="L10" s="133" t="str">
        <f t="shared" si="11"/>
        <v>KPN BelVrij Avond&amp;Weekend CMPSTN</v>
      </c>
      <c r="M10" s="329"/>
      <c r="N10" s="329"/>
      <c r="P10" s="193">
        <f>MATCH(K10,'Rekenblad Aansluiting'!A:A,0)</f>
        <v>16</v>
      </c>
      <c r="Q10" s="206">
        <f>MATCH(L10,'Rekenblad Verkeer'!A:A,0)</f>
        <v>6</v>
      </c>
      <c r="R10" s="194"/>
      <c r="T10" s="191">
        <f>INDEX('Rekenblad Aansluiting'!O:O,'Rekenblad combi'!P10)</f>
        <v>102.77777777777777</v>
      </c>
      <c r="U10" s="142">
        <f>INDEX('Rekenblad Verkeer'!AG:AG,'Rekenblad combi'!Q10)</f>
        <v>0</v>
      </c>
      <c r="V10" s="142"/>
      <c r="W10" s="192">
        <f t="shared" si="12"/>
        <v>102.77777777777777</v>
      </c>
      <c r="Y10" s="191">
        <f>INDEX('Rekenblad Aansluiting'!X:X,'Rekenblad combi'!P10)</f>
        <v>82.72907806111111</v>
      </c>
      <c r="Z10" s="142">
        <f>INDEX('Rekenblad Verkeer'!AR:AR,'Rekenblad combi'!Q10)</f>
        <v>-22.634220555555558</v>
      </c>
      <c r="AA10" s="142"/>
      <c r="AB10" s="191">
        <f t="shared" si="13"/>
        <v>60.094857505555552</v>
      </c>
      <c r="AC10" s="145">
        <f t="shared" si="14"/>
        <v>0.58470672167567572</v>
      </c>
      <c r="AD10" s="190" t="b">
        <f t="shared" si="15"/>
        <v>0</v>
      </c>
      <c r="AE10" s="331" t="s">
        <v>868</v>
      </c>
      <c r="AG10" s="189"/>
      <c r="AH10" s="192"/>
      <c r="AI10" s="776"/>
      <c r="AJ10" s="191"/>
      <c r="AK10" s="145"/>
      <c r="AL10" s="190"/>
      <c r="AN10" s="189"/>
      <c r="AO10" s="194"/>
    </row>
    <row r="11" spans="1:41" ht="18" customHeight="1">
      <c r="A11" s="4" t="str">
        <f t="shared" si="8"/>
        <v>KPN BelVrij Altijd CM PSTN  VVE overstap</v>
      </c>
      <c r="B11" s="4" t="str">
        <f t="shared" si="9"/>
        <v>KPN BelVrij Altijd CMPSTN</v>
      </c>
      <c r="C11" s="189" t="s">
        <v>1279</v>
      </c>
      <c r="D11" s="285" t="s">
        <v>463</v>
      </c>
      <c r="E11" s="250"/>
      <c r="F11" s="250"/>
      <c r="G11" s="133" t="s">
        <v>459</v>
      </c>
      <c r="H11" s="189"/>
      <c r="I11" s="133"/>
      <c r="J11" s="190"/>
      <c r="K11" s="133" t="str">
        <f t="shared" si="10"/>
        <v>KPN BelVrij Altijd CMPSTNVVE overstap</v>
      </c>
      <c r="L11" s="133" t="str">
        <f t="shared" si="11"/>
        <v>KPN BelVrij Altijd CMPSTN</v>
      </c>
      <c r="M11" s="329"/>
      <c r="N11" s="329"/>
      <c r="P11" s="193">
        <f>MATCH(K11,'Rekenblad Aansluiting'!A:A,0)</f>
        <v>19</v>
      </c>
      <c r="Q11" s="206">
        <f>MATCH(L11,'Rekenblad Verkeer'!A:A,0)</f>
        <v>7</v>
      </c>
      <c r="R11" s="194"/>
      <c r="T11" s="191">
        <f>INDEX('Rekenblad Aansluiting'!O:O,'Rekenblad combi'!P11)</f>
        <v>102.77777777777777</v>
      </c>
      <c r="U11" s="142">
        <f>INDEX('Rekenblad Verkeer'!AG:AG,'Rekenblad combi'!Q11)</f>
        <v>0</v>
      </c>
      <c r="V11" s="142"/>
      <c r="W11" s="192">
        <f t="shared" si="12"/>
        <v>102.77777777777777</v>
      </c>
      <c r="Y11" s="191">
        <f>INDEX('Rekenblad Aansluiting'!X:X,'Rekenblad combi'!P11)</f>
        <v>82.72907806111111</v>
      </c>
      <c r="Z11" s="142">
        <f>INDEX('Rekenblad Verkeer'!AR:AR,'Rekenblad combi'!Q11)</f>
        <v>-22.634220555555558</v>
      </c>
      <c r="AA11" s="142"/>
      <c r="AB11" s="191">
        <f t="shared" si="13"/>
        <v>60.094857505555552</v>
      </c>
      <c r="AC11" s="145">
        <f t="shared" si="14"/>
        <v>0.58470672167567572</v>
      </c>
      <c r="AD11" s="190" t="b">
        <f t="shared" si="15"/>
        <v>0</v>
      </c>
      <c r="AE11" s="331" t="s">
        <v>868</v>
      </c>
      <c r="AG11" s="189"/>
      <c r="AH11" s="192"/>
      <c r="AI11" s="776"/>
      <c r="AJ11" s="191"/>
      <c r="AK11" s="145"/>
      <c r="AL11" s="190"/>
      <c r="AN11" s="189"/>
      <c r="AO11" s="194"/>
    </row>
    <row r="12" spans="1:41" ht="18" customHeight="1">
      <c r="A12" s="4" t="str">
        <f>C12&amp;" "&amp;D12&amp;" "&amp;E12&amp;" "&amp;G12</f>
        <v>Slim Bereikbaar ISDN1  VVE nieuwe aanleg</v>
      </c>
      <c r="B12" s="4" t="str">
        <f>C12&amp;D12</f>
        <v>Slim BereikbaarISDN1</v>
      </c>
      <c r="C12" s="189" t="s">
        <v>716</v>
      </c>
      <c r="D12" s="285" t="s">
        <v>464</v>
      </c>
      <c r="E12" s="250"/>
      <c r="F12" s="250"/>
      <c r="G12" s="133" t="s">
        <v>458</v>
      </c>
      <c r="H12" s="189"/>
      <c r="I12" s="133"/>
      <c r="J12" s="190"/>
      <c r="K12" s="133" t="str">
        <f t="shared" ref="K12:K17" si="16">C12&amp;D12&amp;E12&amp;G12</f>
        <v>Slim BereikbaarISDN1VVE nieuwe aanleg</v>
      </c>
      <c r="L12" s="133" t="str">
        <f t="shared" ref="L12:L17" si="17">C12&amp;SUBSTITUTE(D12,"ISDN30 eerste aansluiting","ISDN30")&amp;E12&amp;F12</f>
        <v>Slim BereikbaarISDN1</v>
      </c>
      <c r="M12" s="329" t="str">
        <f t="shared" ref="M12:M17" si="18">H12&amp;I12&amp;J12</f>
        <v/>
      </c>
      <c r="N12" s="329"/>
      <c r="P12" s="193">
        <f>MATCH(K12,'Rekenblad Aansluiting'!A:A,0)</f>
        <v>60</v>
      </c>
      <c r="Q12" s="206">
        <f>MATCH(L12,'Rekenblad Verkeer'!A:A,0)</f>
        <v>23</v>
      </c>
      <c r="R12" s="194"/>
      <c r="T12" s="191">
        <f>INDEX('Rekenblad Aansluiting'!O:O,'Rekenblad combi'!P12)</f>
        <v>102.77777777777777</v>
      </c>
      <c r="U12" s="142">
        <f>INDEX('Rekenblad Verkeer'!AG:AG,'Rekenblad combi'!Q12)</f>
        <v>15</v>
      </c>
      <c r="V12" s="142"/>
      <c r="W12" s="192">
        <f>T12+U12</f>
        <v>117.77777777777777</v>
      </c>
      <c r="Y12" s="191">
        <f>INDEX('Rekenblad Aansluiting'!X:X,'Rekenblad combi'!P12)</f>
        <v>88.388888888888886</v>
      </c>
      <c r="Z12" s="142">
        <f>INDEX('Rekenblad Verkeer'!AR:AR,'Rekenblad combi'!Q12)</f>
        <v>7.4697794444444447</v>
      </c>
      <c r="AA12" s="142"/>
      <c r="AB12" s="191">
        <f>Y12+Z12+AA12</f>
        <v>95.858668333333327</v>
      </c>
      <c r="AC12" s="145">
        <f>AB12/W12</f>
        <v>0.81389435377358488</v>
      </c>
      <c r="AD12" s="190" t="b">
        <f>AB12&lt;0</f>
        <v>0</v>
      </c>
      <c r="AE12" s="331" t="s">
        <v>868</v>
      </c>
      <c r="AG12" s="189">
        <f>INDEX('Rekenblad Aansluiting'!M:M,'Rekenblad combi'!P12)</f>
        <v>100</v>
      </c>
      <c r="AH12" s="192">
        <f>AG12+U12</f>
        <v>115</v>
      </c>
      <c r="AI12" s="776">
        <f>INDEX('Rekenblad Aansluiting'!AI:AI,'Rekenblad combi'!P12)</f>
        <v>85.916666666666671</v>
      </c>
      <c r="AJ12" s="191">
        <f>AI12+Z12+AA12</f>
        <v>93.386446111111113</v>
      </c>
      <c r="AK12" s="145">
        <f>AJ12/AH12</f>
        <v>0.81205605314009666</v>
      </c>
      <c r="AL12" s="190" t="b">
        <f>AK12&lt;0</f>
        <v>0</v>
      </c>
      <c r="AN12" s="189">
        <f>INDEX('Tarieven ZM'!$A$4:$F$115,MATCH($B12,'Tarieven ZM'!$A$4:$A$115,0),MATCH('Tarieven ZM'!$F$4,'Tarieven ZM'!$A$4:$F$4,0))</f>
        <v>100</v>
      </c>
      <c r="AO12" s="194">
        <f>AJ12/(AN12/Parameters!$B$9)</f>
        <v>33.619120600000002</v>
      </c>
    </row>
    <row r="13" spans="1:41" ht="18" customHeight="1">
      <c r="A13" s="4" t="str">
        <f t="shared" ref="A13:A17" si="19">C13&amp;" "&amp;D13&amp;" "&amp;E13&amp;" "&amp;G13</f>
        <v>Slim Bereikbaar ISDN2  VVE nieuwe aanleg</v>
      </c>
      <c r="B13" s="4" t="str">
        <f t="shared" ref="B13:B17" si="20">C13&amp;D13</f>
        <v>Slim BereikbaarISDN2</v>
      </c>
      <c r="C13" s="189" t="s">
        <v>716</v>
      </c>
      <c r="D13" s="285" t="s">
        <v>465</v>
      </c>
      <c r="E13" s="250"/>
      <c r="F13" s="250"/>
      <c r="G13" s="133" t="s">
        <v>458</v>
      </c>
      <c r="H13" s="189"/>
      <c r="I13" s="133"/>
      <c r="J13" s="190"/>
      <c r="K13" s="133" t="str">
        <f t="shared" si="16"/>
        <v>Slim BereikbaarISDN2VVE nieuwe aanleg</v>
      </c>
      <c r="L13" s="133" t="str">
        <f t="shared" si="17"/>
        <v>Slim BereikbaarISDN2</v>
      </c>
      <c r="M13" s="329" t="str">
        <f t="shared" si="18"/>
        <v/>
      </c>
      <c r="N13" s="329"/>
      <c r="P13" s="193">
        <f>MATCH(K13,'Rekenblad Aansluiting'!A:A,0)</f>
        <v>61</v>
      </c>
      <c r="Q13" s="206">
        <f>MATCH(L13,'Rekenblad Verkeer'!A:A,0)</f>
        <v>24</v>
      </c>
      <c r="R13" s="194"/>
      <c r="T13" s="191">
        <f>INDEX('Rekenblad Aansluiting'!O:O,'Rekenblad combi'!P13)</f>
        <v>102.77777777777777</v>
      </c>
      <c r="U13" s="142">
        <f>INDEX('Rekenblad Verkeer'!AG:AG,'Rekenblad combi'!Q13)</f>
        <v>15</v>
      </c>
      <c r="V13" s="142"/>
      <c r="W13" s="192">
        <f>T13+U13</f>
        <v>117.77777777777777</v>
      </c>
      <c r="Y13" s="191">
        <f>INDEX('Rekenblad Aansluiting'!X:X,'Rekenblad combi'!P13)</f>
        <v>88.388888888888886</v>
      </c>
      <c r="Z13" s="142">
        <f>INDEX('Rekenblad Verkeer'!AR:AR,'Rekenblad combi'!Q13)</f>
        <v>7.4697794444444447</v>
      </c>
      <c r="AA13" s="142"/>
      <c r="AB13" s="191">
        <f t="shared" ref="AB13:AB17" si="21">Y13+Z13+AA13</f>
        <v>95.858668333333327</v>
      </c>
      <c r="AC13" s="145">
        <f>AB13/W13</f>
        <v>0.81389435377358488</v>
      </c>
      <c r="AD13" s="190" t="b">
        <f>AB13&lt;0</f>
        <v>0</v>
      </c>
      <c r="AE13" s="331" t="s">
        <v>868</v>
      </c>
      <c r="AG13" s="189">
        <f>INDEX('Rekenblad Aansluiting'!M:M,'Rekenblad combi'!P13)</f>
        <v>100</v>
      </c>
      <c r="AH13" s="192">
        <f t="shared" ref="AH13:AH15" si="22">AG13+U13</f>
        <v>115</v>
      </c>
      <c r="AI13" s="776">
        <f>INDEX('Rekenblad Aansluiting'!AI:AI,'Rekenblad combi'!P13)</f>
        <v>85.916666666666671</v>
      </c>
      <c r="AJ13" s="191">
        <f t="shared" ref="AJ13:AJ15" si="23">AI13+Z13+AA13</f>
        <v>93.386446111111113</v>
      </c>
      <c r="AK13" s="145">
        <f t="shared" ref="AK13:AK15" si="24">AJ13/AH13</f>
        <v>0.81205605314009666</v>
      </c>
      <c r="AL13" s="190" t="b">
        <f t="shared" ref="AL13:AL15" si="25">AK13&lt;0</f>
        <v>0</v>
      </c>
      <c r="AN13" s="189">
        <f>INDEX('Tarieven ZM'!$A$4:$F$115,MATCH($B13,'Tarieven ZM'!$A$4:$A$115,0),MATCH('Tarieven ZM'!$F$4,'Tarieven ZM'!$A$4:$F$4,0))</f>
        <v>100</v>
      </c>
      <c r="AO13" s="194">
        <f>AJ13/(AN13/Parameters!$B$9)</f>
        <v>33.619120600000002</v>
      </c>
    </row>
    <row r="14" spans="1:41" ht="18" customHeight="1">
      <c r="A14" s="4" t="str">
        <f t="shared" ref="A14:A15" si="26">C14&amp;" "&amp;D14&amp;" "&amp;E14&amp;" "&amp;G14</f>
        <v>ZBT PSTN 100 VVE nieuwe aanleg</v>
      </c>
      <c r="B14" s="4" t="str">
        <f t="shared" ref="B14:B15" si="27">C14&amp;D14</f>
        <v>ZBTPSTN</v>
      </c>
      <c r="C14" s="189" t="s">
        <v>488</v>
      </c>
      <c r="D14" s="285" t="s">
        <v>463</v>
      </c>
      <c r="E14" s="285">
        <v>100</v>
      </c>
      <c r="F14" s="250"/>
      <c r="G14" s="133" t="s">
        <v>458</v>
      </c>
      <c r="H14" s="189"/>
      <c r="I14" s="133"/>
      <c r="J14" s="190"/>
      <c r="K14" s="133" t="str">
        <f t="shared" ref="K14:K15" si="28">C14&amp;D14&amp;E14&amp;G14</f>
        <v>ZBTPSTN100VVE nieuwe aanleg</v>
      </c>
      <c r="L14" s="133" t="str">
        <f t="shared" ref="L14:L15" si="29">C14&amp;SUBSTITUTE(D14,"ISDN30 eerste aansluiting","ISDN30")&amp;E14&amp;F14</f>
        <v>ZBTPSTN100</v>
      </c>
      <c r="M14" s="329" t="str">
        <f t="shared" ref="M14:M15" si="30">H14&amp;I14&amp;J14</f>
        <v/>
      </c>
      <c r="N14" s="329"/>
      <c r="P14" s="193">
        <f>MATCH(K14,'Rekenblad Aansluiting'!A:A,0)</f>
        <v>62</v>
      </c>
      <c r="Q14" s="206">
        <f>MATCH(L14,'Rekenblad Verkeer'!A:A,0)</f>
        <v>8</v>
      </c>
      <c r="R14" s="194"/>
      <c r="T14" s="191">
        <f>INDEX('Rekenblad Aansluiting'!O:O,'Rekenblad combi'!P14)</f>
        <v>102.77777777777777</v>
      </c>
      <c r="U14" s="142">
        <f>INDEX('Rekenblad Verkeer'!AG:AG,'Rekenblad combi'!Q14)</f>
        <v>60</v>
      </c>
      <c r="V14" s="142"/>
      <c r="W14" s="192">
        <f t="shared" ref="W14:W15" si="31">T14+U14</f>
        <v>162.77777777777777</v>
      </c>
      <c r="Y14" s="191">
        <f>INDEX('Rekenblad Aansluiting'!X:X,'Rekenblad combi'!P14)</f>
        <v>77.017966949999987</v>
      </c>
      <c r="Z14" s="142">
        <f>INDEX('Rekenblad Verkeer'!AR:AR,'Rekenblad combi'!Q14)</f>
        <v>28.965779444444443</v>
      </c>
      <c r="AA14" s="142"/>
      <c r="AB14" s="191">
        <f t="shared" ref="AB14:AB15" si="32">Y14+Z14+AA14</f>
        <v>105.98374639444444</v>
      </c>
      <c r="AC14" s="145">
        <f t="shared" ref="AC14:AC15" si="33">AB14/W14</f>
        <v>0.65109468774744028</v>
      </c>
      <c r="AD14" s="190" t="b">
        <f t="shared" ref="AD14:AD15" si="34">AB14&lt;0</f>
        <v>0</v>
      </c>
      <c r="AE14" s="331" t="s">
        <v>868</v>
      </c>
      <c r="AG14" s="189">
        <f>INDEX('Rekenblad Aansluiting'!M:M,'Rekenblad combi'!P14)</f>
        <v>100</v>
      </c>
      <c r="AH14" s="192">
        <f t="shared" si="22"/>
        <v>160</v>
      </c>
      <c r="AI14" s="776">
        <f>INDEX('Rekenblad Aansluiting'!AI:AI,'Rekenblad combi'!P14)</f>
        <v>76.681578061111111</v>
      </c>
      <c r="AJ14" s="191">
        <f t="shared" si="23"/>
        <v>105.64735750555556</v>
      </c>
      <c r="AK14" s="145">
        <f t="shared" si="24"/>
        <v>0.66029598440972226</v>
      </c>
      <c r="AL14" s="190" t="b">
        <f t="shared" si="25"/>
        <v>0</v>
      </c>
      <c r="AN14" s="189">
        <f>INDEX('Tarieven ZM'!$A$4:$F$115,MATCH($B14,'Tarieven ZM'!$A$4:$A$115,0),MATCH('Tarieven ZM'!$F$4,'Tarieven ZM'!$A$4:$F$4,0))</f>
        <v>100</v>
      </c>
      <c r="AO14" s="194">
        <f>AJ14/(AN14/Parameters!$B$9)</f>
        <v>38.033048702000002</v>
      </c>
    </row>
    <row r="15" spans="1:41" ht="18" customHeight="1">
      <c r="A15" s="4" t="str">
        <f t="shared" si="26"/>
        <v>ZBT PSTN 100 VVE overstap</v>
      </c>
      <c r="B15" s="4" t="str">
        <f t="shared" si="27"/>
        <v>ZBTPSTN</v>
      </c>
      <c r="C15" s="189" t="s">
        <v>488</v>
      </c>
      <c r="D15" s="285" t="s">
        <v>463</v>
      </c>
      <c r="E15" s="285">
        <v>100</v>
      </c>
      <c r="F15" s="250"/>
      <c r="G15" s="133" t="s">
        <v>459</v>
      </c>
      <c r="H15" s="189"/>
      <c r="I15" s="133"/>
      <c r="J15" s="190"/>
      <c r="K15" s="133" t="str">
        <f t="shared" si="28"/>
        <v>ZBTPSTN100VVE overstap</v>
      </c>
      <c r="L15" s="133" t="str">
        <f t="shared" si="29"/>
        <v>ZBTPSTN100</v>
      </c>
      <c r="M15" s="329" t="str">
        <f t="shared" si="30"/>
        <v/>
      </c>
      <c r="N15" s="329"/>
      <c r="P15" s="193">
        <f>MATCH(K15,'Rekenblad Aansluiting'!A:A,0)</f>
        <v>63</v>
      </c>
      <c r="Q15" s="206">
        <f>MATCH(L15,'Rekenblad Verkeer'!A:A,0)</f>
        <v>8</v>
      </c>
      <c r="R15" s="194"/>
      <c r="T15" s="191">
        <f>INDEX('Rekenblad Aansluiting'!O:O,'Rekenblad combi'!P15)</f>
        <v>102.77777777777777</v>
      </c>
      <c r="U15" s="142">
        <f>INDEX('Rekenblad Verkeer'!AG:AG,'Rekenblad combi'!Q15)</f>
        <v>60</v>
      </c>
      <c r="V15" s="142"/>
      <c r="W15" s="192">
        <f t="shared" si="31"/>
        <v>162.77777777777777</v>
      </c>
      <c r="Y15" s="191">
        <f>INDEX('Rekenblad Aansluiting'!X:X,'Rekenblad combi'!P15)</f>
        <v>78.617966949999996</v>
      </c>
      <c r="Z15" s="142">
        <f>INDEX('Rekenblad Verkeer'!AR:AR,'Rekenblad combi'!Q15)</f>
        <v>28.965779444444443</v>
      </c>
      <c r="AA15" s="142"/>
      <c r="AB15" s="191">
        <f t="shared" si="32"/>
        <v>107.58374639444443</v>
      </c>
      <c r="AC15" s="145">
        <f t="shared" si="33"/>
        <v>0.66092403928327637</v>
      </c>
      <c r="AD15" s="190" t="b">
        <f t="shared" si="34"/>
        <v>0</v>
      </c>
      <c r="AE15" s="331" t="s">
        <v>868</v>
      </c>
      <c r="AG15" s="189">
        <f>INDEX('Rekenblad Aansluiting'!M:M,'Rekenblad combi'!P15)</f>
        <v>100</v>
      </c>
      <c r="AH15" s="192">
        <f t="shared" si="22"/>
        <v>160</v>
      </c>
      <c r="AI15" s="776">
        <f>INDEX('Rekenblad Aansluiting'!AI:AI,'Rekenblad combi'!P15)</f>
        <v>76.681578061111111</v>
      </c>
      <c r="AJ15" s="191">
        <f t="shared" si="23"/>
        <v>105.64735750555556</v>
      </c>
      <c r="AK15" s="145">
        <f t="shared" si="24"/>
        <v>0.66029598440972226</v>
      </c>
      <c r="AL15" s="190" t="b">
        <f t="shared" si="25"/>
        <v>0</v>
      </c>
      <c r="AN15" s="189">
        <f>INDEX('Tarieven ZM'!$A$4:$F$115,MATCH($B15,'Tarieven ZM'!$A$4:$A$115,0),MATCH('Tarieven ZM'!$F$4,'Tarieven ZM'!$A$4:$F$4,0))</f>
        <v>100</v>
      </c>
      <c r="AO15" s="194">
        <f>AJ15/(AN15/Parameters!$B$9)</f>
        <v>38.033048702000002</v>
      </c>
    </row>
    <row r="16" spans="1:41" ht="14.4">
      <c r="A16" s="4" t="str">
        <f t="shared" si="19"/>
        <v>ZBT ISDN1 100 VVE nieuwe aanleg</v>
      </c>
      <c r="B16" s="4" t="str">
        <f t="shared" si="20"/>
        <v>ZBTISDN1</v>
      </c>
      <c r="C16" s="189" t="s">
        <v>488</v>
      </c>
      <c r="D16" s="133" t="s">
        <v>464</v>
      </c>
      <c r="E16" s="285">
        <v>100</v>
      </c>
      <c r="F16" s="133"/>
      <c r="G16" s="133" t="s">
        <v>458</v>
      </c>
      <c r="H16" s="189"/>
      <c r="I16" s="133"/>
      <c r="J16" s="190"/>
      <c r="K16" s="133" t="str">
        <f t="shared" si="16"/>
        <v>ZBTISDN1100VVE nieuwe aanleg</v>
      </c>
      <c r="L16" s="133" t="str">
        <f t="shared" si="17"/>
        <v>ZBTISDN1100</v>
      </c>
      <c r="M16" s="329" t="str">
        <f t="shared" si="18"/>
        <v/>
      </c>
      <c r="N16" s="329"/>
      <c r="P16" s="193">
        <f>MATCH(K16,'Rekenblad Aansluiting'!A:A,0)</f>
        <v>64</v>
      </c>
      <c r="Q16" s="206">
        <f>MATCH(L16,'Rekenblad Verkeer'!A:A,0)</f>
        <v>9</v>
      </c>
      <c r="R16" s="194"/>
      <c r="T16" s="191">
        <f>INDEX('Rekenblad Aansluiting'!O:O,'Rekenblad combi'!P16)</f>
        <v>102.77777777777777</v>
      </c>
      <c r="U16" s="142">
        <f>INDEX('Rekenblad Verkeer'!AG:AG,'Rekenblad combi'!Q16)</f>
        <v>60</v>
      </c>
      <c r="V16" s="142"/>
      <c r="W16" s="192">
        <f t="shared" ref="W16:W17" si="35">T16+U16</f>
        <v>162.77777777777777</v>
      </c>
      <c r="Y16" s="191">
        <f>INDEX('Rekenblad Aansluiting'!X:X,'Rekenblad combi'!P16)</f>
        <v>77.017966949999987</v>
      </c>
      <c r="Z16" s="142">
        <f>INDEX('Rekenblad Verkeer'!AR:AR,'Rekenblad combi'!Q16)</f>
        <v>28.965779444444443</v>
      </c>
      <c r="AA16" s="142"/>
      <c r="AB16" s="191">
        <f t="shared" si="21"/>
        <v>105.98374639444444</v>
      </c>
      <c r="AC16" s="145">
        <f t="shared" ref="AC16:AC17" si="36">AB16/W16</f>
        <v>0.65109468774744028</v>
      </c>
      <c r="AD16" s="190" t="b">
        <f>AB16&lt;0</f>
        <v>0</v>
      </c>
      <c r="AE16" s="331" t="s">
        <v>868</v>
      </c>
      <c r="AG16" s="189">
        <f>INDEX('Rekenblad Aansluiting'!M:M,'Rekenblad combi'!P16)</f>
        <v>100</v>
      </c>
      <c r="AH16" s="192">
        <f t="shared" ref="AH16:AH17" si="37">AG16+U16</f>
        <v>160</v>
      </c>
      <c r="AI16" s="776">
        <f>INDEX('Rekenblad Aansluiting'!AI:AI,'Rekenblad combi'!P16)</f>
        <v>76.681578061111111</v>
      </c>
      <c r="AJ16" s="191">
        <f t="shared" ref="AJ16:AJ17" si="38">AI16+Z16+AA16</f>
        <v>105.64735750555556</v>
      </c>
      <c r="AK16" s="145">
        <f t="shared" ref="AK16:AK17" si="39">AJ16/AH16</f>
        <v>0.66029598440972226</v>
      </c>
      <c r="AL16" s="190" t="b">
        <f t="shared" ref="AL16:AL17" si="40">AK16&lt;0</f>
        <v>0</v>
      </c>
      <c r="AN16" s="189">
        <f>INDEX('Tarieven ZM'!$A$4:$F$115,MATCH($B16,'Tarieven ZM'!$A$4:$A$115,0),MATCH('Tarieven ZM'!$F$4,'Tarieven ZM'!$A$4:$F$4,0))</f>
        <v>100</v>
      </c>
      <c r="AO16" s="194">
        <f>AJ16/(AN16/Parameters!$B$9)</f>
        <v>38.033048702000002</v>
      </c>
    </row>
    <row r="17" spans="1:41" ht="14.4">
      <c r="A17" s="4" t="str">
        <f t="shared" si="19"/>
        <v>ZBT ISDN2 100 VVE nieuwe aanleg</v>
      </c>
      <c r="B17" s="4" t="str">
        <f t="shared" si="20"/>
        <v>ZBTISDN2</v>
      </c>
      <c r="C17" s="189" t="s">
        <v>488</v>
      </c>
      <c r="D17" s="133" t="s">
        <v>465</v>
      </c>
      <c r="E17" s="285">
        <v>100</v>
      </c>
      <c r="F17" s="133"/>
      <c r="G17" s="133" t="s">
        <v>458</v>
      </c>
      <c r="H17" s="189"/>
      <c r="I17" s="133"/>
      <c r="J17" s="190"/>
      <c r="K17" s="133" t="str">
        <f t="shared" si="16"/>
        <v>ZBTISDN2100VVE nieuwe aanleg</v>
      </c>
      <c r="L17" s="133" t="str">
        <f t="shared" si="17"/>
        <v>ZBTISDN2100</v>
      </c>
      <c r="M17" s="329" t="str">
        <f t="shared" si="18"/>
        <v/>
      </c>
      <c r="N17" s="329"/>
      <c r="P17" s="193">
        <f>MATCH(K17,'Rekenblad Aansluiting'!A:A,0)</f>
        <v>66</v>
      </c>
      <c r="Q17" s="206">
        <f>MATCH(L17,'Rekenblad Verkeer'!A:A,0)</f>
        <v>10</v>
      </c>
      <c r="R17" s="194"/>
      <c r="T17" s="191">
        <f>INDEX('Rekenblad Aansluiting'!O:O,'Rekenblad combi'!P17)</f>
        <v>102.77777777777777</v>
      </c>
      <c r="U17" s="142">
        <f>INDEX('Rekenblad Verkeer'!AG:AG,'Rekenblad combi'!Q17)</f>
        <v>60</v>
      </c>
      <c r="V17" s="142"/>
      <c r="W17" s="192">
        <f t="shared" si="35"/>
        <v>162.77777777777777</v>
      </c>
      <c r="Y17" s="191">
        <f>INDEX('Rekenblad Aansluiting'!X:X,'Rekenblad combi'!P17)</f>
        <v>77.017966949999987</v>
      </c>
      <c r="Z17" s="142">
        <f>INDEX('Rekenblad Verkeer'!AR:AR,'Rekenblad combi'!Q17)</f>
        <v>28.965779444444443</v>
      </c>
      <c r="AA17" s="142"/>
      <c r="AB17" s="191">
        <f t="shared" si="21"/>
        <v>105.98374639444444</v>
      </c>
      <c r="AC17" s="145">
        <f t="shared" si="36"/>
        <v>0.65109468774744028</v>
      </c>
      <c r="AD17" s="190" t="b">
        <f t="shared" ref="AD17" si="41">AB17&lt;0</f>
        <v>0</v>
      </c>
      <c r="AE17" s="331" t="s">
        <v>868</v>
      </c>
      <c r="AG17" s="189">
        <f>INDEX('Rekenblad Aansluiting'!M:M,'Rekenblad combi'!P17)</f>
        <v>100</v>
      </c>
      <c r="AH17" s="192">
        <f t="shared" si="37"/>
        <v>160</v>
      </c>
      <c r="AI17" s="776">
        <f>INDEX('Rekenblad Aansluiting'!AI:AI,'Rekenblad combi'!P17)</f>
        <v>76.681578061111111</v>
      </c>
      <c r="AJ17" s="191">
        <f t="shared" si="38"/>
        <v>105.64735750555556</v>
      </c>
      <c r="AK17" s="145">
        <f t="shared" si="39"/>
        <v>0.66029598440972226</v>
      </c>
      <c r="AL17" s="190" t="b">
        <f t="shared" si="40"/>
        <v>0</v>
      </c>
      <c r="AN17" s="189">
        <f>INDEX('Tarieven ZM'!$A$4:$F$115,MATCH($B17,'Tarieven ZM'!$A$4:$A$115,0),MATCH('Tarieven ZM'!$F$4,'Tarieven ZM'!$A$4:$F$4,0))</f>
        <v>100</v>
      </c>
      <c r="AO17" s="194">
        <f>AJ17/(AN17/Parameters!$B$9)</f>
        <v>38.033048702000002</v>
      </c>
    </row>
    <row r="18" spans="1:41" ht="14.4">
      <c r="A18" s="4" t="str">
        <f t="shared" ref="A18" si="42">C18&amp;" "&amp;D18&amp;" "&amp;E18&amp;" "&amp;G18</f>
        <v>ZBT ISDN15 100 VVE nieuwe aanleg</v>
      </c>
      <c r="B18" s="4" t="str">
        <f t="shared" ref="B18" si="43">C18&amp;D18</f>
        <v>ZBTISDN15</v>
      </c>
      <c r="C18" s="189" t="s">
        <v>488</v>
      </c>
      <c r="D18" s="133" t="s">
        <v>466</v>
      </c>
      <c r="E18" s="285">
        <v>100</v>
      </c>
      <c r="F18" s="133"/>
      <c r="G18" s="133" t="s">
        <v>458</v>
      </c>
      <c r="H18" s="189"/>
      <c r="I18" s="133"/>
      <c r="J18" s="190"/>
      <c r="K18" s="133" t="str">
        <f t="shared" ref="K18" si="44">C18&amp;D18&amp;E18&amp;G18</f>
        <v>ZBTISDN15100VVE nieuwe aanleg</v>
      </c>
      <c r="L18" s="133" t="str">
        <f t="shared" ref="L18" si="45">C18&amp;SUBSTITUTE(D18,"ISDN30 eerste aansluiting","ISDN30")&amp;E18&amp;F18</f>
        <v>ZBTISDN15100</v>
      </c>
      <c r="M18" s="329" t="str">
        <f t="shared" ref="M18" si="46">H18&amp;I18&amp;J18</f>
        <v/>
      </c>
      <c r="N18" s="329"/>
      <c r="P18" s="193">
        <f>MATCH(K18,'Rekenblad Aansluiting'!A:A,0)</f>
        <v>68</v>
      </c>
      <c r="Q18" s="206">
        <f>MATCH(L18,'Rekenblad Verkeer'!A:A,0)</f>
        <v>11</v>
      </c>
      <c r="R18" s="194"/>
      <c r="T18" s="191">
        <f>INDEX('Rekenblad Aansluiting'!O:O,'Rekenblad combi'!P18)</f>
        <v>102.77777777777777</v>
      </c>
      <c r="U18" s="142">
        <f>INDEX('Rekenblad Verkeer'!AG:AG,'Rekenblad combi'!Q18)</f>
        <v>60</v>
      </c>
      <c r="V18" s="142"/>
      <c r="W18" s="192">
        <f t="shared" ref="W18" si="47">T18+U18</f>
        <v>162.77777777777777</v>
      </c>
      <c r="Y18" s="191">
        <f>INDEX('Rekenblad Aansluiting'!X:X,'Rekenblad combi'!P18)</f>
        <v>65.379043694444434</v>
      </c>
      <c r="Z18" s="142">
        <f>INDEX('Rekenblad Verkeer'!AR:AR,'Rekenblad combi'!Q18)</f>
        <v>28.965779444444443</v>
      </c>
      <c r="AA18" s="142"/>
      <c r="AB18" s="191">
        <f t="shared" ref="AB18" si="48">Y18+Z18+AA18</f>
        <v>94.34482313888887</v>
      </c>
      <c r="AC18" s="145">
        <f t="shared" ref="AC18" si="49">AB18/W18</f>
        <v>0.57959277013651866</v>
      </c>
      <c r="AD18" s="190" t="b">
        <f t="shared" ref="AD18" si="50">AB18&lt;0</f>
        <v>0</v>
      </c>
      <c r="AE18" s="331" t="s">
        <v>868</v>
      </c>
      <c r="AG18" s="189">
        <f>INDEX('Rekenblad Aansluiting'!M:M,'Rekenblad combi'!P18)</f>
        <v>100</v>
      </c>
      <c r="AH18" s="192">
        <f t="shared" ref="AH18" si="51">AG18+U18</f>
        <v>160</v>
      </c>
      <c r="AI18" s="776">
        <f>INDEX('Rekenblad Aansluiting'!AI:AI,'Rekenblad combi'!P18)</f>
        <v>67.178488138888895</v>
      </c>
      <c r="AJ18" s="191">
        <f t="shared" ref="AJ18" si="52">AI18+Z18+AA18</f>
        <v>96.144267583333345</v>
      </c>
      <c r="AK18" s="145">
        <f t="shared" ref="AK18" si="53">AJ18/AH18</f>
        <v>0.60090167239583336</v>
      </c>
      <c r="AL18" s="190" t="b">
        <f t="shared" ref="AL18" si="54">AK18&lt;0</f>
        <v>0</v>
      </c>
      <c r="AN18" s="189">
        <f>INDEX('Tarieven ZM'!$A$4:$F$115,MATCH($B18,'Tarieven ZM'!$A$4:$A$115,0),MATCH('Tarieven ZM'!$F$4,'Tarieven ZM'!$A$4:$F$4,0))</f>
        <v>100</v>
      </c>
      <c r="AO18" s="194">
        <f>AJ18/(AN18/Parameters!$B$9)</f>
        <v>34.611936330000006</v>
      </c>
    </row>
    <row r="19" spans="1:41" ht="14.4">
      <c r="A19" s="4" t="str">
        <f t="shared" ref="A19" si="55">C19&amp;" "&amp;D19&amp;" "&amp;E19&amp;" "&amp;G19</f>
        <v>ZBT ISDN20 100 VVE nieuwe aanleg</v>
      </c>
      <c r="B19" s="4" t="str">
        <f t="shared" ref="B19" si="56">C19&amp;D19</f>
        <v>ZBTISDN20</v>
      </c>
      <c r="C19" s="189" t="s">
        <v>488</v>
      </c>
      <c r="D19" s="133" t="s">
        <v>468</v>
      </c>
      <c r="E19" s="285">
        <v>100</v>
      </c>
      <c r="F19" s="133"/>
      <c r="G19" s="133" t="s">
        <v>458</v>
      </c>
      <c r="H19" s="189"/>
      <c r="I19" s="133"/>
      <c r="J19" s="190"/>
      <c r="K19" s="133" t="str">
        <f t="shared" ref="K19" si="57">C19&amp;D19&amp;E19&amp;G19</f>
        <v>ZBTISDN20100VVE nieuwe aanleg</v>
      </c>
      <c r="L19" s="133" t="str">
        <f t="shared" ref="L19" si="58">C19&amp;SUBSTITUTE(D19,"ISDN30 eerste aansluiting","ISDN30")&amp;E19&amp;F19</f>
        <v>ZBTISDN20100</v>
      </c>
      <c r="M19" s="329" t="str">
        <f t="shared" ref="M19" si="59">H19&amp;I19&amp;J19</f>
        <v/>
      </c>
      <c r="N19" s="329"/>
      <c r="P19" s="193">
        <f>MATCH(K19,'Rekenblad Aansluiting'!A:A,0)</f>
        <v>69</v>
      </c>
      <c r="Q19" s="206">
        <f>MATCH(L19,'Rekenblad Verkeer'!A:A,0)</f>
        <v>12</v>
      </c>
      <c r="R19" s="194"/>
      <c r="T19" s="191">
        <f>INDEX('Rekenblad Aansluiting'!O:O,'Rekenblad combi'!P19)</f>
        <v>102.77777777777777</v>
      </c>
      <c r="U19" s="142">
        <f>INDEX('Rekenblad Verkeer'!AG:AG,'Rekenblad combi'!Q19)</f>
        <v>60</v>
      </c>
      <c r="V19" s="142"/>
      <c r="W19" s="192">
        <f t="shared" ref="W19" si="60">T19+U19</f>
        <v>162.77777777777777</v>
      </c>
      <c r="Y19" s="191">
        <f>INDEX('Rekenblad Aansluiting'!X:X,'Rekenblad combi'!P19)</f>
        <v>65.379043694444434</v>
      </c>
      <c r="Z19" s="142">
        <f>INDEX('Rekenblad Verkeer'!AR:AR,'Rekenblad combi'!Q19)</f>
        <v>28.965779444444443</v>
      </c>
      <c r="AA19" s="142"/>
      <c r="AB19" s="191">
        <f t="shared" ref="AB19" si="61">Y19+Z19+AA19</f>
        <v>94.34482313888887</v>
      </c>
      <c r="AC19" s="145">
        <f t="shared" ref="AC19" si="62">AB19/W19</f>
        <v>0.57959277013651866</v>
      </c>
      <c r="AD19" s="190" t="b">
        <f t="shared" ref="AD19" si="63">AB19&lt;0</f>
        <v>0</v>
      </c>
      <c r="AE19" s="331" t="s">
        <v>868</v>
      </c>
      <c r="AG19" s="189">
        <f>INDEX('Rekenblad Aansluiting'!M:M,'Rekenblad combi'!P19)</f>
        <v>100</v>
      </c>
      <c r="AH19" s="192">
        <f t="shared" ref="AH19" si="64">AG19+U19</f>
        <v>160</v>
      </c>
      <c r="AI19" s="776">
        <f>INDEX('Rekenblad Aansluiting'!AI:AI,'Rekenblad combi'!P19)</f>
        <v>67.178488138888895</v>
      </c>
      <c r="AJ19" s="191">
        <f t="shared" ref="AJ19" si="65">AI19+Z19+AA19</f>
        <v>96.144267583333345</v>
      </c>
      <c r="AK19" s="145">
        <f t="shared" ref="AK19" si="66">AJ19/AH19</f>
        <v>0.60090167239583336</v>
      </c>
      <c r="AL19" s="190" t="b">
        <f t="shared" ref="AL19" si="67">AK19&lt;0</f>
        <v>0</v>
      </c>
      <c r="AN19" s="189">
        <f>INDEX('Tarieven ZM'!$A$4:$F$115,MATCH($B19,'Tarieven ZM'!$A$4:$A$115,0),MATCH('Tarieven ZM'!$F$4,'Tarieven ZM'!$A$4:$F$4,0))</f>
        <v>100</v>
      </c>
      <c r="AO19" s="194">
        <f>AJ19/(AN19/Parameters!$B$9)</f>
        <v>34.611936330000006</v>
      </c>
    </row>
    <row r="20" spans="1:41" ht="14.4">
      <c r="A20" s="4" t="str">
        <f t="shared" ref="A20" si="68">C20&amp;" "&amp;D20&amp;" "&amp;E20&amp;" "&amp;G20</f>
        <v>ZBT ISDN30 eerste aansluiting 100 VVE nieuwe aanleg</v>
      </c>
      <c r="B20" s="4" t="str">
        <f t="shared" ref="B20" si="69">C20&amp;D20</f>
        <v>ZBTISDN30 eerste aansluiting</v>
      </c>
      <c r="C20" s="189" t="s">
        <v>488</v>
      </c>
      <c r="D20" s="133" t="s">
        <v>869</v>
      </c>
      <c r="E20" s="285">
        <v>100</v>
      </c>
      <c r="F20" s="133"/>
      <c r="G20" s="133" t="s">
        <v>458</v>
      </c>
      <c r="H20" s="189"/>
      <c r="I20" s="133"/>
      <c r="J20" s="190"/>
      <c r="K20" s="133" t="str">
        <f t="shared" ref="K20" si="70">C20&amp;D20&amp;E20&amp;G20</f>
        <v>ZBTISDN30 eerste aansluiting100VVE nieuwe aanleg</v>
      </c>
      <c r="L20" s="133" t="str">
        <f t="shared" ref="L20" si="71">C20&amp;SUBSTITUTE(D20,"ISDN30 eerste aansluiting","ISDN30")&amp;E20&amp;F20</f>
        <v>ZBTISDN30100</v>
      </c>
      <c r="M20" s="329" t="str">
        <f t="shared" ref="M20" si="72">H20&amp;I20&amp;J20</f>
        <v/>
      </c>
      <c r="N20" s="329"/>
      <c r="P20" s="193">
        <f>MATCH(K20,'Rekenblad Aansluiting'!A:A,0)</f>
        <v>70</v>
      </c>
      <c r="Q20" s="206">
        <f>MATCH(L20,'Rekenblad Verkeer'!A:A,0)</f>
        <v>13</v>
      </c>
      <c r="R20" s="194"/>
      <c r="T20" s="191">
        <f>INDEX('Rekenblad Aansluiting'!O:O,'Rekenblad combi'!P20)</f>
        <v>102.77777777777777</v>
      </c>
      <c r="U20" s="142">
        <f>INDEX('Rekenblad Verkeer'!AG:AG,'Rekenblad combi'!Q20)</f>
        <v>60</v>
      </c>
      <c r="V20" s="142"/>
      <c r="W20" s="192">
        <f t="shared" ref="W20" si="73">T20+U20</f>
        <v>162.77777777777777</v>
      </c>
      <c r="Y20" s="191">
        <f>INDEX('Rekenblad Aansluiting'!X:X,'Rekenblad combi'!P20)</f>
        <v>65.379043694444434</v>
      </c>
      <c r="Z20" s="142">
        <f>INDEX('Rekenblad Verkeer'!AR:AR,'Rekenblad combi'!Q20)</f>
        <v>28.965779444444443</v>
      </c>
      <c r="AA20" s="142"/>
      <c r="AB20" s="191">
        <f t="shared" ref="AB20" si="74">Y20+Z20+AA20</f>
        <v>94.34482313888887</v>
      </c>
      <c r="AC20" s="145">
        <f t="shared" ref="AC20" si="75">AB20/W20</f>
        <v>0.57959277013651866</v>
      </c>
      <c r="AD20" s="190" t="b">
        <f t="shared" ref="AD20" si="76">AB20&lt;0</f>
        <v>0</v>
      </c>
      <c r="AE20" s="331" t="s">
        <v>868</v>
      </c>
      <c r="AG20" s="189">
        <f>INDEX('Rekenblad Aansluiting'!M:M,'Rekenblad combi'!P20)</f>
        <v>100</v>
      </c>
      <c r="AH20" s="192">
        <f t="shared" ref="AH20" si="77">AG20+U20</f>
        <v>160</v>
      </c>
      <c r="AI20" s="776">
        <f>INDEX('Rekenblad Aansluiting'!AI:AI,'Rekenblad combi'!P20)</f>
        <v>67.178488138888895</v>
      </c>
      <c r="AJ20" s="191">
        <f t="shared" ref="AJ20" si="78">AI20+Z20+AA20</f>
        <v>96.144267583333345</v>
      </c>
      <c r="AK20" s="145">
        <f t="shared" ref="AK20" si="79">AJ20/AH20</f>
        <v>0.60090167239583336</v>
      </c>
      <c r="AL20" s="190" t="b">
        <f t="shared" ref="AL20" si="80">AK20&lt;0</f>
        <v>0</v>
      </c>
      <c r="AN20" s="189">
        <f>INDEX('Tarieven ZM'!$A$4:$F$115,MATCH($B20,'Tarieven ZM'!$A$4:$A$115,0),MATCH('Tarieven ZM'!$F$4,'Tarieven ZM'!$A$4:$F$4,0))</f>
        <v>100</v>
      </c>
      <c r="AO20" s="194">
        <f>AJ20/(AN20/Parameters!$B$9)</f>
        <v>34.611936330000006</v>
      </c>
    </row>
    <row r="21" spans="1:41" ht="14.4">
      <c r="A21" s="4" t="str">
        <f t="shared" ref="A21" si="81">C21&amp;" "&amp;D21&amp;" "&amp;E21&amp;" "&amp;G21</f>
        <v>ZBT Cityphone 100 VVE nieuwe aanleg</v>
      </c>
      <c r="B21" s="4" t="str">
        <f t="shared" ref="B21:B23" si="82">C21&amp;D21</f>
        <v>ZBTCityphone</v>
      </c>
      <c r="C21" s="189" t="s">
        <v>488</v>
      </c>
      <c r="D21" s="133" t="s">
        <v>520</v>
      </c>
      <c r="E21" s="285">
        <v>100</v>
      </c>
      <c r="F21" s="133"/>
      <c r="G21" s="133" t="s">
        <v>458</v>
      </c>
      <c r="H21" s="189"/>
      <c r="I21" s="133"/>
      <c r="J21" s="190"/>
      <c r="K21" s="133" t="str">
        <f t="shared" ref="K21" si="83">C21&amp;D21&amp;E21&amp;G21</f>
        <v>ZBTCityphone100VVE nieuwe aanleg</v>
      </c>
      <c r="L21" s="133" t="str">
        <f t="shared" ref="L21" si="84">C21&amp;SUBSTITUTE(D21,"ISDN30 eerste aansluiting","ISDN30")&amp;E21&amp;F21</f>
        <v>ZBTCityphone100</v>
      </c>
      <c r="M21" s="329" t="str">
        <f t="shared" ref="M21:M23" si="85">H21&amp;I21&amp;J21</f>
        <v/>
      </c>
      <c r="N21" s="329"/>
      <c r="P21" s="193">
        <f>MATCH(K21,'Rekenblad Aansluiting'!A:A,0)</f>
        <v>71</v>
      </c>
      <c r="Q21" s="206">
        <f>MATCH(L21,'Rekenblad Verkeer'!A:A,0)</f>
        <v>14</v>
      </c>
      <c r="R21" s="194"/>
      <c r="T21" s="191">
        <f>INDEX('Rekenblad Aansluiting'!O:O,'Rekenblad combi'!P21)</f>
        <v>102.77777777777777</v>
      </c>
      <c r="U21" s="142">
        <f>INDEX('Rekenblad Verkeer'!AG:AG,'Rekenblad combi'!Q21)</f>
        <v>60</v>
      </c>
      <c r="V21" s="142"/>
      <c r="W21" s="192">
        <f t="shared" ref="W21" si="86">T21+U21</f>
        <v>162.77777777777777</v>
      </c>
      <c r="Y21" s="191">
        <f>INDEX('Rekenblad Aansluiting'!X:X,'Rekenblad combi'!P21)</f>
        <v>87.868888888888875</v>
      </c>
      <c r="Z21" s="142">
        <f>INDEX('Rekenblad Verkeer'!AR:AR,'Rekenblad combi'!Q21)</f>
        <v>28.965779444444443</v>
      </c>
      <c r="AA21" s="142"/>
      <c r="AB21" s="191">
        <f t="shared" ref="AB21:AB23" si="87">Y21+Z21+AA21</f>
        <v>116.83466833333333</v>
      </c>
      <c r="AC21" s="145">
        <f t="shared" ref="AC21" si="88">AB21/W21</f>
        <v>0.71775564163822525</v>
      </c>
      <c r="AD21" s="190" t="b">
        <f t="shared" ref="AD21" si="89">AB21&lt;0</f>
        <v>0</v>
      </c>
      <c r="AE21" s="331" t="s">
        <v>868</v>
      </c>
      <c r="AG21" s="189">
        <f>INDEX('Rekenblad Aansluiting'!M:M,'Rekenblad combi'!P21)</f>
        <v>100</v>
      </c>
      <c r="AH21" s="192">
        <f t="shared" ref="AH21:AH22" si="90">AG21+U21</f>
        <v>160</v>
      </c>
      <c r="AI21" s="776">
        <f>INDEX('Rekenblad Aansluiting'!AI:AI,'Rekenblad combi'!P21)</f>
        <v>85.49666666666667</v>
      </c>
      <c r="AJ21" s="191">
        <f t="shared" ref="AJ21:AJ22" si="91">AI21+Z21+AA21</f>
        <v>114.46244611111112</v>
      </c>
      <c r="AK21" s="145">
        <f t="shared" ref="AK21:AK22" si="92">AJ21/AH21</f>
        <v>0.7153902881944445</v>
      </c>
      <c r="AL21" s="190" t="b">
        <f t="shared" ref="AL21:AL22" si="93">AK21&lt;0</f>
        <v>0</v>
      </c>
      <c r="AN21" s="189">
        <f>INDEX('Tarieven ZM'!$A$4:$F$115,MATCH($B21,'Tarieven ZM'!$A$4:$A$115,0),MATCH('Tarieven ZM'!$F$4,'Tarieven ZM'!$A$4:$F$4,0))</f>
        <v>100</v>
      </c>
      <c r="AO21" s="194">
        <f>AJ21/(AN21/Parameters!$B$9)</f>
        <v>41.206480600000006</v>
      </c>
    </row>
    <row r="22" spans="1:41" ht="14.4">
      <c r="A22" s="4" t="str">
        <f t="shared" ref="A22:A23" si="94">C22&amp;" "&amp;D22&amp;" "&amp;E22&amp;" "&amp;G22</f>
        <v>ZBT ISDN1 100 VVE overstap</v>
      </c>
      <c r="B22" s="4" t="str">
        <f t="shared" si="82"/>
        <v>ZBTISDN1</v>
      </c>
      <c r="C22" s="189" t="s">
        <v>488</v>
      </c>
      <c r="D22" s="133" t="s">
        <v>464</v>
      </c>
      <c r="E22" s="285">
        <v>100</v>
      </c>
      <c r="F22" s="133"/>
      <c r="G22" s="133" t="s">
        <v>459</v>
      </c>
      <c r="H22" s="189"/>
      <c r="I22" s="133"/>
      <c r="J22" s="190"/>
      <c r="K22" s="133" t="str">
        <f t="shared" ref="K22:K23" si="95">C22&amp;D22&amp;E22&amp;G22</f>
        <v>ZBTISDN1100VVE overstap</v>
      </c>
      <c r="L22" s="133" t="str">
        <f t="shared" ref="L22:L23" si="96">C22&amp;SUBSTITUTE(D22,"ISDN30 eerste aansluiting","ISDN30")&amp;E22&amp;F22</f>
        <v>ZBTISDN1100</v>
      </c>
      <c r="M22" s="329" t="str">
        <f t="shared" si="85"/>
        <v/>
      </c>
      <c r="N22" s="329"/>
      <c r="P22" s="193">
        <f>MATCH(K22,'Rekenblad Aansluiting'!A:A,0)</f>
        <v>65</v>
      </c>
      <c r="Q22" s="206">
        <f>MATCH(L22,'Rekenblad Verkeer'!A:A,0)</f>
        <v>9</v>
      </c>
      <c r="R22" s="194"/>
      <c r="T22" s="191">
        <f>INDEX('Rekenblad Aansluiting'!O:O,'Rekenblad combi'!P22)</f>
        <v>102.77777777777777</v>
      </c>
      <c r="U22" s="142">
        <f>INDEX('Rekenblad Verkeer'!AG:AG,'Rekenblad combi'!Q22)</f>
        <v>60</v>
      </c>
      <c r="V22" s="142"/>
      <c r="W22" s="192">
        <f t="shared" ref="W22:W23" si="97">T22+U22</f>
        <v>162.77777777777777</v>
      </c>
      <c r="Y22" s="191">
        <f>INDEX('Rekenblad Aansluiting'!X:X,'Rekenblad combi'!P22)</f>
        <v>78.617966949999996</v>
      </c>
      <c r="Z22" s="142">
        <f>INDEX('Rekenblad Verkeer'!AR:AR,'Rekenblad combi'!Q22)</f>
        <v>28.965779444444443</v>
      </c>
      <c r="AA22" s="142"/>
      <c r="AB22" s="191">
        <f t="shared" si="87"/>
        <v>107.58374639444443</v>
      </c>
      <c r="AC22" s="145">
        <f t="shared" ref="AC22:AC23" si="98">AB22/W22</f>
        <v>0.66092403928327637</v>
      </c>
      <c r="AD22" s="190" t="b">
        <f t="shared" ref="AD22:AD23" si="99">AB22&lt;0</f>
        <v>0</v>
      </c>
      <c r="AE22" s="331" t="s">
        <v>868</v>
      </c>
      <c r="AG22" s="189">
        <f>INDEX('Rekenblad Aansluiting'!M:M,'Rekenblad combi'!P22)</f>
        <v>100</v>
      </c>
      <c r="AH22" s="192">
        <f t="shared" si="90"/>
        <v>160</v>
      </c>
      <c r="AI22" s="776">
        <f>INDEX('Rekenblad Aansluiting'!AI:AI,'Rekenblad combi'!P22)</f>
        <v>76.681578061111111</v>
      </c>
      <c r="AJ22" s="191">
        <f t="shared" si="91"/>
        <v>105.64735750555556</v>
      </c>
      <c r="AK22" s="145">
        <f t="shared" si="92"/>
        <v>0.66029598440972226</v>
      </c>
      <c r="AL22" s="190" t="b">
        <f t="shared" si="93"/>
        <v>0</v>
      </c>
      <c r="AN22" s="189">
        <f>INDEX('Tarieven ZM'!$A$4:$F$115,MATCH($B22,'Tarieven ZM'!$A$4:$A$115,0),MATCH('Tarieven ZM'!$F$4,'Tarieven ZM'!$A$4:$F$4,0))</f>
        <v>100</v>
      </c>
      <c r="AO22" s="194">
        <f>AJ22/(AN22/Parameters!$B$9)</f>
        <v>38.033048702000002</v>
      </c>
    </row>
    <row r="23" spans="1:41" ht="14.4">
      <c r="A23" s="4" t="str">
        <f t="shared" si="94"/>
        <v>ZBT ISDN2 100 VVE overstap</v>
      </c>
      <c r="B23" s="4" t="str">
        <f t="shared" si="82"/>
        <v>ZBTISDN2</v>
      </c>
      <c r="C23" s="189" t="s">
        <v>488</v>
      </c>
      <c r="D23" s="133" t="s">
        <v>465</v>
      </c>
      <c r="E23" s="285">
        <v>100</v>
      </c>
      <c r="F23" s="133"/>
      <c r="G23" s="133" t="s">
        <v>459</v>
      </c>
      <c r="H23" s="189"/>
      <c r="I23" s="133"/>
      <c r="J23" s="190"/>
      <c r="K23" s="133" t="str">
        <f t="shared" si="95"/>
        <v>ZBTISDN2100VVE overstap</v>
      </c>
      <c r="L23" s="133" t="str">
        <f t="shared" si="96"/>
        <v>ZBTISDN2100</v>
      </c>
      <c r="M23" s="329" t="str">
        <f t="shared" si="85"/>
        <v/>
      </c>
      <c r="N23" s="329"/>
      <c r="P23" s="193">
        <f>MATCH(K23,'Rekenblad Aansluiting'!A:A,0)</f>
        <v>67</v>
      </c>
      <c r="Q23" s="206">
        <f>MATCH(L23,'Rekenblad Verkeer'!A:A,0)</f>
        <v>10</v>
      </c>
      <c r="R23" s="194"/>
      <c r="T23" s="191">
        <f>INDEX('Rekenblad Aansluiting'!O:O,'Rekenblad combi'!P23)</f>
        <v>102.77777777777777</v>
      </c>
      <c r="U23" s="142">
        <f>INDEX('Rekenblad Verkeer'!AG:AG,'Rekenblad combi'!Q23)</f>
        <v>60</v>
      </c>
      <c r="V23" s="142"/>
      <c r="W23" s="192">
        <f t="shared" si="97"/>
        <v>162.77777777777777</v>
      </c>
      <c r="Y23" s="191">
        <f>INDEX('Rekenblad Aansluiting'!X:X,'Rekenblad combi'!P23)</f>
        <v>78.617966949999996</v>
      </c>
      <c r="Z23" s="142">
        <f>INDEX('Rekenblad Verkeer'!AR:AR,'Rekenblad combi'!Q23)</f>
        <v>28.965779444444443</v>
      </c>
      <c r="AA23" s="142"/>
      <c r="AB23" s="191">
        <f t="shared" si="87"/>
        <v>107.58374639444443</v>
      </c>
      <c r="AC23" s="145">
        <f t="shared" si="98"/>
        <v>0.66092403928327637</v>
      </c>
      <c r="AD23" s="190" t="b">
        <f t="shared" si="99"/>
        <v>0</v>
      </c>
      <c r="AE23" s="331" t="s">
        <v>868</v>
      </c>
      <c r="AG23" s="189">
        <f>INDEX('Rekenblad Aansluiting'!M:M,'Rekenblad combi'!P23)</f>
        <v>100</v>
      </c>
      <c r="AH23" s="192">
        <f t="shared" ref="AH23" si="100">AG23+U23</f>
        <v>160</v>
      </c>
      <c r="AI23" s="776">
        <f>INDEX('Rekenblad Aansluiting'!AI:AI,'Rekenblad combi'!P23)</f>
        <v>76.681578061111111</v>
      </c>
      <c r="AJ23" s="191">
        <f t="shared" ref="AJ23" si="101">AI23+Z23+AA23</f>
        <v>105.64735750555556</v>
      </c>
      <c r="AK23" s="145">
        <f t="shared" ref="AK23" si="102">AJ23/AH23</f>
        <v>0.66029598440972226</v>
      </c>
      <c r="AL23" s="190" t="b">
        <f t="shared" ref="AL23" si="103">AK23&lt;0</f>
        <v>0</v>
      </c>
      <c r="AN23" s="189">
        <f>INDEX('Tarieven ZM'!$A$4:$F$115,MATCH($B23,'Tarieven ZM'!$A$4:$A$115,0),MATCH('Tarieven ZM'!$F$4,'Tarieven ZM'!$A$4:$F$4,0))</f>
        <v>100</v>
      </c>
      <c r="AO23" s="194">
        <f>AJ23/(AN23/Parameters!$B$9)</f>
        <v>38.033048702000002</v>
      </c>
    </row>
    <row r="24" spans="1:41" ht="14.4">
      <c r="A24" s="4" t="str">
        <f t="shared" ref="A24" si="104">C24&amp;" "&amp;D24&amp;" "&amp;E24&amp;" "&amp;G24</f>
        <v>ZBT ISDN15 100 VVE overstap</v>
      </c>
      <c r="B24" s="4" t="str">
        <f t="shared" ref="B24" si="105">C24&amp;D24</f>
        <v>ZBTISDN15</v>
      </c>
      <c r="C24" s="189" t="s">
        <v>488</v>
      </c>
      <c r="D24" s="133" t="s">
        <v>466</v>
      </c>
      <c r="E24" s="285">
        <v>100</v>
      </c>
      <c r="F24" s="133"/>
      <c r="G24" s="133" t="s">
        <v>459</v>
      </c>
      <c r="H24" s="189"/>
      <c r="I24" s="133"/>
      <c r="J24" s="190"/>
      <c r="K24" s="133" t="str">
        <f t="shared" ref="K24" si="106">C24&amp;D24&amp;E24&amp;G24</f>
        <v>ZBTISDN15100VVE overstap</v>
      </c>
      <c r="L24" s="133" t="str">
        <f t="shared" ref="L24" si="107">C24&amp;SUBSTITUTE(D24,"ISDN30 eerste aansluiting","ISDN30")&amp;E24&amp;F24</f>
        <v>ZBTISDN15100</v>
      </c>
      <c r="M24" s="329" t="str">
        <f t="shared" ref="M24" si="108">H24&amp;I24&amp;J24</f>
        <v/>
      </c>
      <c r="N24" s="329"/>
      <c r="P24" s="193">
        <f>MATCH(K24,'Rekenblad Aansluiting'!A:A,0)</f>
        <v>72</v>
      </c>
      <c r="Q24" s="206">
        <f>MATCH(L24,'Rekenblad Verkeer'!A:A,0)</f>
        <v>11</v>
      </c>
      <c r="R24" s="194"/>
      <c r="T24" s="191">
        <f>INDEX('Rekenblad Aansluiting'!O:O,'Rekenblad combi'!P24)</f>
        <v>102.77777777777777</v>
      </c>
      <c r="U24" s="142">
        <f>INDEX('Rekenblad Verkeer'!AG:AG,'Rekenblad combi'!Q24)</f>
        <v>60</v>
      </c>
      <c r="V24" s="142"/>
      <c r="W24" s="192">
        <f t="shared" ref="W24" si="109">T24+U24</f>
        <v>162.77777777777777</v>
      </c>
      <c r="Y24" s="191">
        <f>INDEX('Rekenblad Aansluiting'!X:X,'Rekenblad combi'!P24)</f>
        <v>68.579043694444437</v>
      </c>
      <c r="Z24" s="142">
        <f>INDEX('Rekenblad Verkeer'!AR:AR,'Rekenblad combi'!Q24)</f>
        <v>28.965779444444443</v>
      </c>
      <c r="AA24" s="142"/>
      <c r="AB24" s="191">
        <f t="shared" ref="AB24" si="110">Y24+Z24+AA24</f>
        <v>97.544823138888887</v>
      </c>
      <c r="AC24" s="145">
        <f t="shared" ref="AC24" si="111">AB24/W24</f>
        <v>0.59925147320819117</v>
      </c>
      <c r="AD24" s="190" t="b">
        <f t="shared" ref="AD24" si="112">AB24&lt;0</f>
        <v>0</v>
      </c>
      <c r="AE24" s="331" t="s">
        <v>868</v>
      </c>
      <c r="AG24" s="189">
        <f>INDEX('Rekenblad Aansluiting'!M:M,'Rekenblad combi'!P24)</f>
        <v>100</v>
      </c>
      <c r="AH24" s="192">
        <f t="shared" ref="AH24" si="113">AG24+U24</f>
        <v>160</v>
      </c>
      <c r="AI24" s="776">
        <f>INDEX('Rekenblad Aansluiting'!AI:AI,'Rekenblad combi'!P24)</f>
        <v>67.178488138888895</v>
      </c>
      <c r="AJ24" s="191">
        <f t="shared" ref="AJ24" si="114">AI24+Z24+AA24</f>
        <v>96.144267583333345</v>
      </c>
      <c r="AK24" s="145">
        <f t="shared" ref="AK24" si="115">AJ24/AH24</f>
        <v>0.60090167239583336</v>
      </c>
      <c r="AL24" s="190" t="b">
        <f t="shared" ref="AL24" si="116">AK24&lt;0</f>
        <v>0</v>
      </c>
      <c r="AN24" s="189">
        <f>INDEX('Tarieven ZM'!$A$4:$F$115,MATCH($B24,'Tarieven ZM'!$A$4:$A$115,0),MATCH('Tarieven ZM'!$F$4,'Tarieven ZM'!$A$4:$F$4,0))</f>
        <v>100</v>
      </c>
      <c r="AO24" s="194">
        <f>AJ24/(AN24/Parameters!$B$9)</f>
        <v>34.611936330000006</v>
      </c>
    </row>
    <row r="25" spans="1:41" ht="14.4">
      <c r="A25" s="4" t="str">
        <f t="shared" ref="A25" si="117">C25&amp;" "&amp;D25&amp;" "&amp;E25&amp;" "&amp;G25</f>
        <v>ZBT ISDN20 100 VVE overstap</v>
      </c>
      <c r="B25" s="4" t="str">
        <f t="shared" ref="B25" si="118">C25&amp;D25</f>
        <v>ZBTISDN20</v>
      </c>
      <c r="C25" s="189" t="s">
        <v>488</v>
      </c>
      <c r="D25" s="133" t="s">
        <v>468</v>
      </c>
      <c r="E25" s="285">
        <v>100</v>
      </c>
      <c r="F25" s="133"/>
      <c r="G25" s="133" t="s">
        <v>459</v>
      </c>
      <c r="H25" s="189"/>
      <c r="I25" s="133"/>
      <c r="J25" s="190"/>
      <c r="K25" s="133" t="str">
        <f t="shared" ref="K25" si="119">C25&amp;D25&amp;E25&amp;G25</f>
        <v>ZBTISDN20100VVE overstap</v>
      </c>
      <c r="L25" s="133" t="str">
        <f t="shared" ref="L25" si="120">C25&amp;SUBSTITUTE(D25,"ISDN30 eerste aansluiting","ISDN30")&amp;E25&amp;F25</f>
        <v>ZBTISDN20100</v>
      </c>
      <c r="M25" s="329" t="str">
        <f t="shared" ref="M25" si="121">H25&amp;I25&amp;J25</f>
        <v/>
      </c>
      <c r="N25" s="329"/>
      <c r="P25" s="193">
        <f>MATCH(K25,'Rekenblad Aansluiting'!A:A,0)</f>
        <v>73</v>
      </c>
      <c r="Q25" s="206">
        <f>MATCH(L25,'Rekenblad Verkeer'!A:A,0)</f>
        <v>12</v>
      </c>
      <c r="R25" s="194"/>
      <c r="T25" s="191">
        <f>INDEX('Rekenblad Aansluiting'!O:O,'Rekenblad combi'!P25)</f>
        <v>102.77777777777777</v>
      </c>
      <c r="U25" s="142">
        <f>INDEX('Rekenblad Verkeer'!AG:AG,'Rekenblad combi'!Q25)</f>
        <v>60</v>
      </c>
      <c r="V25" s="142"/>
      <c r="W25" s="192">
        <f t="shared" ref="W25" si="122">T25+U25</f>
        <v>162.77777777777777</v>
      </c>
      <c r="Y25" s="191">
        <f>INDEX('Rekenblad Aansluiting'!X:X,'Rekenblad combi'!P25)</f>
        <v>68.579043694444437</v>
      </c>
      <c r="Z25" s="142">
        <f>INDEX('Rekenblad Verkeer'!AR:AR,'Rekenblad combi'!Q25)</f>
        <v>28.965779444444443</v>
      </c>
      <c r="AA25" s="142"/>
      <c r="AB25" s="191">
        <f t="shared" ref="AB25" si="123">Y25+Z25+AA25</f>
        <v>97.544823138888887</v>
      </c>
      <c r="AC25" s="145">
        <f t="shared" ref="AC25" si="124">AB25/W25</f>
        <v>0.59925147320819117</v>
      </c>
      <c r="AD25" s="190" t="b">
        <f t="shared" ref="AD25" si="125">AB25&lt;0</f>
        <v>0</v>
      </c>
      <c r="AE25" s="331" t="s">
        <v>868</v>
      </c>
      <c r="AG25" s="189">
        <f>INDEX('Rekenblad Aansluiting'!M:M,'Rekenblad combi'!P25)</f>
        <v>100</v>
      </c>
      <c r="AH25" s="192">
        <f t="shared" ref="AH25" si="126">AG25+U25</f>
        <v>160</v>
      </c>
      <c r="AI25" s="776">
        <f>INDEX('Rekenblad Aansluiting'!AI:AI,'Rekenblad combi'!P25)</f>
        <v>67.178488138888895</v>
      </c>
      <c r="AJ25" s="191">
        <f t="shared" ref="AJ25" si="127">AI25+Z25+AA25</f>
        <v>96.144267583333345</v>
      </c>
      <c r="AK25" s="145">
        <f t="shared" ref="AK25" si="128">AJ25/AH25</f>
        <v>0.60090167239583336</v>
      </c>
      <c r="AL25" s="190" t="b">
        <f t="shared" ref="AL25" si="129">AK25&lt;0</f>
        <v>0</v>
      </c>
      <c r="AN25" s="189">
        <f>INDEX('Tarieven ZM'!$A$4:$F$115,MATCH($B25,'Tarieven ZM'!$A$4:$A$115,0),MATCH('Tarieven ZM'!$F$4,'Tarieven ZM'!$A$4:$F$4,0))</f>
        <v>100</v>
      </c>
      <c r="AO25" s="194">
        <f>AJ25/(AN25/Parameters!$B$9)</f>
        <v>34.611936330000006</v>
      </c>
    </row>
    <row r="26" spans="1:41" ht="14.4">
      <c r="A26" s="4" t="str">
        <f t="shared" ref="A26" si="130">C26&amp;" "&amp;D26&amp;" "&amp;E26&amp;" "&amp;G26</f>
        <v>ZBT ISDN30 eerste aansluiting 100 VVE overstap</v>
      </c>
      <c r="B26" s="4" t="str">
        <f t="shared" ref="B26" si="131">C26&amp;D26</f>
        <v>ZBTISDN30 eerste aansluiting</v>
      </c>
      <c r="C26" s="189" t="s">
        <v>488</v>
      </c>
      <c r="D26" s="133" t="s">
        <v>869</v>
      </c>
      <c r="E26" s="285">
        <v>100</v>
      </c>
      <c r="F26" s="133"/>
      <c r="G26" s="133" t="s">
        <v>459</v>
      </c>
      <c r="H26" s="189"/>
      <c r="I26" s="133"/>
      <c r="J26" s="190"/>
      <c r="K26" s="133" t="str">
        <f t="shared" ref="K26" si="132">C26&amp;D26&amp;E26&amp;G26</f>
        <v>ZBTISDN30 eerste aansluiting100VVE overstap</v>
      </c>
      <c r="L26" s="133" t="str">
        <f t="shared" ref="L26" si="133">C26&amp;SUBSTITUTE(D26,"ISDN30 eerste aansluiting","ISDN30")&amp;E26&amp;F26</f>
        <v>ZBTISDN30100</v>
      </c>
      <c r="M26" s="329" t="str">
        <f t="shared" ref="M26" si="134">H26&amp;I26&amp;J26</f>
        <v/>
      </c>
      <c r="N26" s="329"/>
      <c r="P26" s="193">
        <f>MATCH(K26,'Rekenblad Aansluiting'!A:A,0)</f>
        <v>74</v>
      </c>
      <c r="Q26" s="206">
        <f>MATCH(L26,'Rekenblad Verkeer'!A:A,0)</f>
        <v>13</v>
      </c>
      <c r="R26" s="194"/>
      <c r="T26" s="191">
        <f>INDEX('Rekenblad Aansluiting'!O:O,'Rekenblad combi'!P26)</f>
        <v>102.77777777777777</v>
      </c>
      <c r="U26" s="142">
        <f>INDEX('Rekenblad Verkeer'!AG:AG,'Rekenblad combi'!Q26)</f>
        <v>60</v>
      </c>
      <c r="V26" s="142"/>
      <c r="W26" s="192">
        <f t="shared" ref="W26" si="135">T26+U26</f>
        <v>162.77777777777777</v>
      </c>
      <c r="Y26" s="191">
        <f>INDEX('Rekenblad Aansluiting'!X:X,'Rekenblad combi'!P26)</f>
        <v>68.579043694444437</v>
      </c>
      <c r="Z26" s="142">
        <f>INDEX('Rekenblad Verkeer'!AR:AR,'Rekenblad combi'!Q26)</f>
        <v>28.965779444444443</v>
      </c>
      <c r="AA26" s="142"/>
      <c r="AB26" s="191">
        <f t="shared" ref="AB26" si="136">Y26+Z26+AA26</f>
        <v>97.544823138888887</v>
      </c>
      <c r="AC26" s="145">
        <f t="shared" ref="AC26" si="137">AB26/W26</f>
        <v>0.59925147320819117</v>
      </c>
      <c r="AD26" s="190" t="b">
        <f t="shared" ref="AD26" si="138">AB26&lt;0</f>
        <v>0</v>
      </c>
      <c r="AE26" s="331" t="s">
        <v>868</v>
      </c>
      <c r="AG26" s="189">
        <f>INDEX('Rekenblad Aansluiting'!M:M,'Rekenblad combi'!P26)</f>
        <v>100</v>
      </c>
      <c r="AH26" s="192">
        <f t="shared" ref="AH26" si="139">AG26+U26</f>
        <v>160</v>
      </c>
      <c r="AI26" s="776">
        <f>INDEX('Rekenblad Aansluiting'!AI:AI,'Rekenblad combi'!P26)</f>
        <v>67.178488138888895</v>
      </c>
      <c r="AJ26" s="191">
        <f t="shared" ref="AJ26" si="140">AI26+Z26+AA26</f>
        <v>96.144267583333345</v>
      </c>
      <c r="AK26" s="145">
        <f t="shared" ref="AK26" si="141">AJ26/AH26</f>
        <v>0.60090167239583336</v>
      </c>
      <c r="AL26" s="190" t="b">
        <f t="shared" ref="AL26" si="142">AK26&lt;0</f>
        <v>0</v>
      </c>
      <c r="AN26" s="189">
        <f>INDEX('Tarieven ZM'!$A$4:$F$115,MATCH($B26,'Tarieven ZM'!$A$4:$A$115,0),MATCH('Tarieven ZM'!$F$4,'Tarieven ZM'!$A$4:$F$4,0))</f>
        <v>100</v>
      </c>
      <c r="AO26" s="194">
        <f>AJ26/(AN26/Parameters!$B$9)</f>
        <v>34.611936330000006</v>
      </c>
    </row>
    <row r="27" spans="1:41" ht="14.4">
      <c r="A27" s="4" t="str">
        <f t="shared" ref="A27:A31" si="143">C27&amp;" "&amp;D27&amp;" "&amp;E27&amp;" "&amp;G27</f>
        <v>ZBT Cityphone 100 VVE overstap</v>
      </c>
      <c r="B27" s="4" t="str">
        <f t="shared" ref="B27:B30" si="144">C27&amp;D27</f>
        <v>ZBTCityphone</v>
      </c>
      <c r="C27" s="189" t="s">
        <v>488</v>
      </c>
      <c r="D27" s="133" t="s">
        <v>520</v>
      </c>
      <c r="E27" s="285">
        <v>100</v>
      </c>
      <c r="F27" s="133"/>
      <c r="G27" s="133" t="s">
        <v>459</v>
      </c>
      <c r="H27" s="189"/>
      <c r="I27" s="133"/>
      <c r="J27" s="190"/>
      <c r="K27" s="133" t="str">
        <f t="shared" ref="K27:K31" si="145">C27&amp;D27&amp;E27&amp;G27</f>
        <v>ZBTCityphone100VVE overstap</v>
      </c>
      <c r="L27" s="133" t="str">
        <f t="shared" ref="L27:L31" si="146">C27&amp;SUBSTITUTE(D27,"ISDN30 eerste aansluiting","ISDN30")&amp;E27&amp;F27</f>
        <v>ZBTCityphone100</v>
      </c>
      <c r="M27" s="329" t="str">
        <f t="shared" ref="M27:M30" si="147">H27&amp;I27&amp;J27</f>
        <v/>
      </c>
      <c r="N27" s="329"/>
      <c r="P27" s="193">
        <f>MATCH(K27,'Rekenblad Aansluiting'!A:A,0)</f>
        <v>75</v>
      </c>
      <c r="Q27" s="206">
        <f>MATCH(L27,'Rekenblad Verkeer'!A:A,0)</f>
        <v>14</v>
      </c>
      <c r="R27" s="194"/>
      <c r="T27" s="191">
        <f>INDEX('Rekenblad Aansluiting'!O:O,'Rekenblad combi'!P27)</f>
        <v>102.77777777777777</v>
      </c>
      <c r="U27" s="142">
        <f>INDEX('Rekenblad Verkeer'!AG:AG,'Rekenblad combi'!Q27)</f>
        <v>60</v>
      </c>
      <c r="V27" s="142"/>
      <c r="W27" s="192">
        <f t="shared" ref="W27:W30" si="148">T27+U27</f>
        <v>162.77777777777777</v>
      </c>
      <c r="Y27" s="191">
        <f>INDEX('Rekenblad Aansluiting'!X:X,'Rekenblad combi'!P27)</f>
        <v>87.868888888888875</v>
      </c>
      <c r="Z27" s="142">
        <f>INDEX('Rekenblad Verkeer'!AR:AR,'Rekenblad combi'!Q27)</f>
        <v>28.965779444444443</v>
      </c>
      <c r="AA27" s="142"/>
      <c r="AB27" s="191">
        <f t="shared" ref="AB27:AB30" si="149">Y27+Z27+AA27</f>
        <v>116.83466833333333</v>
      </c>
      <c r="AC27" s="145">
        <f t="shared" ref="AC27:AC30" si="150">AB27/W27</f>
        <v>0.71775564163822525</v>
      </c>
      <c r="AD27" s="190" t="b">
        <f t="shared" ref="AD27:AD30" si="151">AB27&lt;0</f>
        <v>0</v>
      </c>
      <c r="AE27" s="331" t="s">
        <v>868</v>
      </c>
      <c r="AG27" s="189">
        <f>INDEX('Rekenblad Aansluiting'!M:M,'Rekenblad combi'!P27)</f>
        <v>100</v>
      </c>
      <c r="AH27" s="192">
        <f t="shared" ref="AH27:AH28" si="152">AG27+U27</f>
        <v>160</v>
      </c>
      <c r="AI27" s="776">
        <f>INDEX('Rekenblad Aansluiting'!AI:AI,'Rekenblad combi'!P27)</f>
        <v>85.49666666666667</v>
      </c>
      <c r="AJ27" s="191">
        <f t="shared" ref="AJ27:AJ28" si="153">AI27+Z27+AA27</f>
        <v>114.46244611111112</v>
      </c>
      <c r="AK27" s="145">
        <f t="shared" ref="AK27:AK28" si="154">AJ27/AH27</f>
        <v>0.7153902881944445</v>
      </c>
      <c r="AL27" s="190" t="b">
        <f t="shared" ref="AL27:AL28" si="155">AK27&lt;0</f>
        <v>0</v>
      </c>
      <c r="AN27" s="189">
        <f>INDEX('Tarieven ZM'!$A$4:$F$115,MATCH($B27,'Tarieven ZM'!$A$4:$A$115,0),MATCH('Tarieven ZM'!$F$4,'Tarieven ZM'!$A$4:$F$4,0))</f>
        <v>100</v>
      </c>
      <c r="AO27" s="194">
        <f>AJ27/(AN27/Parameters!$B$9)</f>
        <v>41.206480600000006</v>
      </c>
    </row>
    <row r="28" spans="1:41" ht="14.4">
      <c r="A28" s="133" t="str">
        <f t="shared" ref="A28:A29" si="156">C28&amp;" "&amp;D28&amp;" "&amp;E28&amp;" "&amp;G28</f>
        <v>ZBT PSTN 100 VVE nieuwe aanleg</v>
      </c>
      <c r="B28" s="133" t="str">
        <f t="shared" ref="B28:B29" si="157">C28&amp;D28</f>
        <v>ZBTPSTN</v>
      </c>
      <c r="C28" s="189" t="s">
        <v>488</v>
      </c>
      <c r="D28" s="285" t="s">
        <v>463</v>
      </c>
      <c r="E28" s="285">
        <v>100</v>
      </c>
      <c r="F28" s="178" t="s">
        <v>1271</v>
      </c>
      <c r="G28" s="133" t="s">
        <v>458</v>
      </c>
      <c r="H28" s="189"/>
      <c r="I28" s="133"/>
      <c r="J28" s="190"/>
      <c r="K28" s="133" t="str">
        <f t="shared" ref="K28:K29" si="158">C28&amp;D28&amp;E28&amp;G28</f>
        <v>ZBTPSTN100VVE nieuwe aanleg</v>
      </c>
      <c r="L28" s="133" t="str">
        <f t="shared" ref="L28:L29" si="159">C28&amp;SUBSTITUTE(D28,"ISDN30 eerste aansluiting","ISDN30")&amp;E28&amp;F28</f>
        <v>ZBTPSTN100IDD contractsduurkorting</v>
      </c>
      <c r="M28" s="329" t="str">
        <f t="shared" ref="M28:M29" si="160">H28&amp;I28&amp;J28</f>
        <v/>
      </c>
      <c r="N28" s="329"/>
      <c r="P28" s="193">
        <f>MATCH(K28,'Rekenblad Aansluiting'!A:A,0)</f>
        <v>62</v>
      </c>
      <c r="Q28" s="206">
        <f>MATCH(L28,'Rekenblad Verkeer'!A:A,0)</f>
        <v>29</v>
      </c>
      <c r="R28" s="194"/>
      <c r="T28" s="238">
        <f>INDEX('Rekenblad Aansluiting'!O:O,'Rekenblad combi'!P28)</f>
        <v>102.77777777777777</v>
      </c>
      <c r="U28" s="149">
        <f>INDEX('Rekenblad Verkeer'!AG:AG,'Rekenblad combi'!Q28)</f>
        <v>58.5</v>
      </c>
      <c r="V28" s="149"/>
      <c r="W28" s="239">
        <f t="shared" ref="W28:W29" si="161">T28+U28</f>
        <v>161.27777777777777</v>
      </c>
      <c r="Y28" s="191">
        <f>INDEX('Rekenblad Aansluiting'!X:X,'Rekenblad combi'!P28)</f>
        <v>77.017966949999987</v>
      </c>
      <c r="Z28" s="142">
        <f>INDEX('Rekenblad Verkeer'!AR:AR,'Rekenblad combi'!Q28)</f>
        <v>27.675779444444444</v>
      </c>
      <c r="AA28" s="142"/>
      <c r="AB28" s="191">
        <f t="shared" ref="AB28:AB29" si="162">Y28+Z28+AA28</f>
        <v>104.69374639444443</v>
      </c>
      <c r="AC28" s="145">
        <f t="shared" ref="AC28:AC29" si="163">AB28/W28</f>
        <v>0.6491517172235618</v>
      </c>
      <c r="AD28" s="192" t="b">
        <f t="shared" ref="AD28:AD29" si="164">AB28&lt;0</f>
        <v>0</v>
      </c>
      <c r="AE28" s="331" t="s">
        <v>868</v>
      </c>
      <c r="AG28" s="189">
        <f>INDEX('Rekenblad Aansluiting'!M:M,'Rekenblad combi'!P28)</f>
        <v>100</v>
      </c>
      <c r="AH28" s="192">
        <f t="shared" si="152"/>
        <v>158.5</v>
      </c>
      <c r="AI28" s="776">
        <f>INDEX('Rekenblad Aansluiting'!AI:AI,'Rekenblad combi'!P28)</f>
        <v>76.681578061111111</v>
      </c>
      <c r="AJ28" s="191">
        <f t="shared" si="153"/>
        <v>104.35735750555556</v>
      </c>
      <c r="AK28" s="145">
        <f t="shared" si="154"/>
        <v>0.6584060410445145</v>
      </c>
      <c r="AL28" s="190" t="b">
        <f t="shared" si="155"/>
        <v>0</v>
      </c>
      <c r="AN28" s="189">
        <f>INDEX('Tarieven ZM'!$A$4:$F$115,MATCH($B28,'Tarieven ZM'!$A$4:$A$115,0),MATCH('Tarieven ZM'!$F$4,'Tarieven ZM'!$A$4:$F$4,0))</f>
        <v>100</v>
      </c>
      <c r="AO28" s="194">
        <f>AJ28/(AN28/Parameters!$B$9)</f>
        <v>37.568648702000004</v>
      </c>
    </row>
    <row r="29" spans="1:41" ht="14.4">
      <c r="A29" s="133" t="str">
        <f t="shared" si="156"/>
        <v>ZBT PSTN 100 VVE overstap</v>
      </c>
      <c r="B29" s="133" t="str">
        <f t="shared" si="157"/>
        <v>ZBTPSTN</v>
      </c>
      <c r="C29" s="189" t="s">
        <v>488</v>
      </c>
      <c r="D29" s="285" t="s">
        <v>463</v>
      </c>
      <c r="E29" s="285">
        <v>100</v>
      </c>
      <c r="F29" s="178" t="s">
        <v>1271</v>
      </c>
      <c r="G29" s="133" t="s">
        <v>459</v>
      </c>
      <c r="H29" s="189"/>
      <c r="I29" s="133"/>
      <c r="J29" s="190"/>
      <c r="K29" s="133" t="str">
        <f t="shared" si="158"/>
        <v>ZBTPSTN100VVE overstap</v>
      </c>
      <c r="L29" s="133" t="str">
        <f t="shared" si="159"/>
        <v>ZBTPSTN100IDD contractsduurkorting</v>
      </c>
      <c r="M29" s="329" t="str">
        <f t="shared" si="160"/>
        <v/>
      </c>
      <c r="N29" s="329"/>
      <c r="P29" s="193">
        <f>MATCH(K29,'Rekenblad Aansluiting'!A:A,0)</f>
        <v>63</v>
      </c>
      <c r="Q29" s="206">
        <f>MATCH(L29,'Rekenblad Verkeer'!A:A,0)</f>
        <v>29</v>
      </c>
      <c r="R29" s="194"/>
      <c r="T29" s="238">
        <f>INDEX('Rekenblad Aansluiting'!O:O,'Rekenblad combi'!P29)</f>
        <v>102.77777777777777</v>
      </c>
      <c r="U29" s="149">
        <f>INDEX('Rekenblad Verkeer'!AG:AG,'Rekenblad combi'!Q29)</f>
        <v>58.5</v>
      </c>
      <c r="V29" s="149"/>
      <c r="W29" s="239">
        <f t="shared" si="161"/>
        <v>161.27777777777777</v>
      </c>
      <c r="Y29" s="191">
        <f>INDEX('Rekenblad Aansluiting'!X:X,'Rekenblad combi'!P29)</f>
        <v>78.617966949999996</v>
      </c>
      <c r="Z29" s="142">
        <f>INDEX('Rekenblad Verkeer'!AR:AR,'Rekenblad combi'!Q29)</f>
        <v>27.675779444444444</v>
      </c>
      <c r="AA29" s="142"/>
      <c r="AB29" s="191">
        <f t="shared" si="162"/>
        <v>106.29374639444444</v>
      </c>
      <c r="AC29" s="145">
        <f t="shared" si="163"/>
        <v>0.65907248883913194</v>
      </c>
      <c r="AD29" s="192" t="b">
        <f t="shared" si="164"/>
        <v>0</v>
      </c>
      <c r="AE29" s="331" t="s">
        <v>868</v>
      </c>
      <c r="AG29" s="189">
        <f>INDEX('Rekenblad Aansluiting'!M:M,'Rekenblad combi'!P29)</f>
        <v>100</v>
      </c>
      <c r="AH29" s="192">
        <f t="shared" ref="AH29" si="165">AG29+U29</f>
        <v>158.5</v>
      </c>
      <c r="AI29" s="776">
        <f>INDEX('Rekenblad Aansluiting'!AI:AI,'Rekenblad combi'!P29)</f>
        <v>76.681578061111111</v>
      </c>
      <c r="AJ29" s="191">
        <f t="shared" ref="AJ29" si="166">AI29+Z29+AA29</f>
        <v>104.35735750555556</v>
      </c>
      <c r="AK29" s="145">
        <f t="shared" ref="AK29" si="167">AJ29/AH29</f>
        <v>0.6584060410445145</v>
      </c>
      <c r="AL29" s="190" t="b">
        <f t="shared" ref="AL29" si="168">AK29&lt;0</f>
        <v>0</v>
      </c>
      <c r="AN29" s="189">
        <f>INDEX('Tarieven ZM'!$A$4:$F$115,MATCH($B29,'Tarieven ZM'!$A$4:$A$115,0),MATCH('Tarieven ZM'!$F$4,'Tarieven ZM'!$A$4:$F$4,0))</f>
        <v>100</v>
      </c>
      <c r="AO29" s="194">
        <f>AJ29/(AN29/Parameters!$B$9)</f>
        <v>37.568648702000004</v>
      </c>
    </row>
    <row r="30" spans="1:41" ht="14.4">
      <c r="A30" s="4" t="str">
        <f t="shared" si="143"/>
        <v>ZBT ISDN1 100 VVE nieuwe aanleg</v>
      </c>
      <c r="B30" s="4" t="str">
        <f t="shared" si="144"/>
        <v>ZBTISDN1</v>
      </c>
      <c r="C30" s="189" t="s">
        <v>488</v>
      </c>
      <c r="D30" s="133" t="s">
        <v>464</v>
      </c>
      <c r="E30" s="285">
        <v>100</v>
      </c>
      <c r="F30" s="178" t="s">
        <v>1271</v>
      </c>
      <c r="G30" s="133" t="s">
        <v>458</v>
      </c>
      <c r="H30" s="189"/>
      <c r="I30" s="133"/>
      <c r="J30" s="190"/>
      <c r="K30" s="133" t="str">
        <f t="shared" si="145"/>
        <v>ZBTISDN1100VVE nieuwe aanleg</v>
      </c>
      <c r="L30" s="133" t="str">
        <f t="shared" si="146"/>
        <v>ZBTISDN1100IDD contractsduurkorting</v>
      </c>
      <c r="M30" s="329" t="str">
        <f t="shared" si="147"/>
        <v/>
      </c>
      <c r="N30" s="329"/>
      <c r="P30" s="189">
        <f>MATCH(K30,'Rekenblad Aansluiting'!A:A,0)</f>
        <v>64</v>
      </c>
      <c r="Q30" s="133">
        <f>MATCH(L30,'Rekenblad Verkeer'!A:A,0)</f>
        <v>30</v>
      </c>
      <c r="R30" s="190"/>
      <c r="T30" s="238">
        <f>INDEX('Rekenblad Aansluiting'!O:O,'Rekenblad combi'!P30)</f>
        <v>102.77777777777777</v>
      </c>
      <c r="U30" s="149">
        <f>INDEX('Rekenblad Verkeer'!AG:AG,'Rekenblad combi'!Q30)</f>
        <v>58.5</v>
      </c>
      <c r="V30" s="149"/>
      <c r="W30" s="239">
        <f t="shared" si="148"/>
        <v>161.27777777777777</v>
      </c>
      <c r="Y30" s="191">
        <f>INDEX('Rekenblad Aansluiting'!X:X,'Rekenblad combi'!P30)</f>
        <v>77.017966949999987</v>
      </c>
      <c r="Z30" s="142">
        <f>INDEX('Rekenblad Verkeer'!AR:AR,'Rekenblad combi'!Q30)</f>
        <v>27.675779444444444</v>
      </c>
      <c r="AA30" s="142"/>
      <c r="AB30" s="191">
        <f t="shared" si="149"/>
        <v>104.69374639444443</v>
      </c>
      <c r="AC30" s="145">
        <f t="shared" si="150"/>
        <v>0.6491517172235618</v>
      </c>
      <c r="AD30" s="190" t="b">
        <f t="shared" si="151"/>
        <v>0</v>
      </c>
      <c r="AE30" s="331" t="s">
        <v>868</v>
      </c>
      <c r="AG30" s="189">
        <f>INDEX('Rekenblad Aansluiting'!M:M,'Rekenblad combi'!P30)</f>
        <v>100</v>
      </c>
      <c r="AH30" s="192">
        <f t="shared" ref="AH30:AH31" si="169">AG30+U30</f>
        <v>158.5</v>
      </c>
      <c r="AI30" s="776">
        <f>INDEX('Rekenblad Aansluiting'!AI:AI,'Rekenblad combi'!P30)</f>
        <v>76.681578061111111</v>
      </c>
      <c r="AJ30" s="191">
        <f t="shared" ref="AJ30:AJ31" si="170">AI30+Z30+AA30</f>
        <v>104.35735750555556</v>
      </c>
      <c r="AK30" s="145">
        <f t="shared" ref="AK30:AK31" si="171">AJ30/AH30</f>
        <v>0.6584060410445145</v>
      </c>
      <c r="AL30" s="190" t="b">
        <f t="shared" ref="AL30:AL31" si="172">AK30&lt;0</f>
        <v>0</v>
      </c>
      <c r="AN30" s="189">
        <f>INDEX('Tarieven ZM'!$A$4:$F$115,MATCH($B30,'Tarieven ZM'!$A$4:$A$115,0),MATCH('Tarieven ZM'!$F$4,'Tarieven ZM'!$A$4:$F$4,0))</f>
        <v>100</v>
      </c>
      <c r="AO30" s="194">
        <f>AJ30/(AN30/Parameters!$B$9)</f>
        <v>37.568648702000004</v>
      </c>
    </row>
    <row r="31" spans="1:41" ht="14.4">
      <c r="A31" s="4" t="str">
        <f t="shared" si="143"/>
        <v>ZBT ISDN2 100 VVE nieuwe aanleg</v>
      </c>
      <c r="B31" s="4" t="str">
        <f t="shared" ref="B31" si="173">C31&amp;D31</f>
        <v>ZBTISDN2</v>
      </c>
      <c r="C31" s="189" t="s">
        <v>488</v>
      </c>
      <c r="D31" s="133" t="s">
        <v>465</v>
      </c>
      <c r="E31" s="285">
        <v>100</v>
      </c>
      <c r="F31" s="178" t="s">
        <v>1271</v>
      </c>
      <c r="G31" s="133" t="s">
        <v>458</v>
      </c>
      <c r="H31" s="189"/>
      <c r="I31" s="133"/>
      <c r="J31" s="190"/>
      <c r="K31" s="133" t="str">
        <f t="shared" si="145"/>
        <v>ZBTISDN2100VVE nieuwe aanleg</v>
      </c>
      <c r="L31" s="133" t="str">
        <f t="shared" si="146"/>
        <v>ZBTISDN2100IDD contractsduurkorting</v>
      </c>
      <c r="M31" s="329" t="str">
        <f t="shared" ref="M31" si="174">H31&amp;I31&amp;J31</f>
        <v/>
      </c>
      <c r="N31" s="329"/>
      <c r="P31" s="189">
        <f>MATCH(K31,'Rekenblad Aansluiting'!A:A,0)</f>
        <v>66</v>
      </c>
      <c r="Q31" s="133">
        <f>MATCH(L31,'Rekenblad Verkeer'!A:A,0)</f>
        <v>31</v>
      </c>
      <c r="R31" s="190"/>
      <c r="T31" s="238">
        <f>INDEX('Rekenblad Aansluiting'!O:O,'Rekenblad combi'!P31)</f>
        <v>102.77777777777777</v>
      </c>
      <c r="U31" s="149">
        <f>INDEX('Rekenblad Verkeer'!AG:AG,'Rekenblad combi'!Q31)</f>
        <v>58.5</v>
      </c>
      <c r="V31" s="149"/>
      <c r="W31" s="239">
        <f t="shared" ref="W31" si="175">T31+U31</f>
        <v>161.27777777777777</v>
      </c>
      <c r="Y31" s="191">
        <f>INDEX('Rekenblad Aansluiting'!X:X,'Rekenblad combi'!P31)</f>
        <v>77.017966949999987</v>
      </c>
      <c r="Z31" s="142">
        <f>INDEX('Rekenblad Verkeer'!AR:AR,'Rekenblad combi'!Q31)</f>
        <v>27.675779444444444</v>
      </c>
      <c r="AA31" s="142"/>
      <c r="AB31" s="191">
        <f t="shared" ref="AB31" si="176">Y31+Z31+AA31</f>
        <v>104.69374639444443</v>
      </c>
      <c r="AC31" s="145">
        <f t="shared" ref="AC31" si="177">AB31/W31</f>
        <v>0.6491517172235618</v>
      </c>
      <c r="AD31" s="190" t="b">
        <f t="shared" ref="AD31" si="178">AB31&lt;0</f>
        <v>0</v>
      </c>
      <c r="AE31" s="331" t="s">
        <v>868</v>
      </c>
      <c r="AG31" s="189">
        <f>INDEX('Rekenblad Aansluiting'!M:M,'Rekenblad combi'!P31)</f>
        <v>100</v>
      </c>
      <c r="AH31" s="192">
        <f t="shared" si="169"/>
        <v>158.5</v>
      </c>
      <c r="AI31" s="776">
        <f>INDEX('Rekenblad Aansluiting'!AI:AI,'Rekenblad combi'!P31)</f>
        <v>76.681578061111111</v>
      </c>
      <c r="AJ31" s="191">
        <f t="shared" si="170"/>
        <v>104.35735750555556</v>
      </c>
      <c r="AK31" s="145">
        <f t="shared" si="171"/>
        <v>0.6584060410445145</v>
      </c>
      <c r="AL31" s="190" t="b">
        <f t="shared" si="172"/>
        <v>0</v>
      </c>
      <c r="AN31" s="189">
        <f>INDEX('Tarieven ZM'!$A$4:$F$115,MATCH($B31,'Tarieven ZM'!$A$4:$A$115,0),MATCH('Tarieven ZM'!$F$4,'Tarieven ZM'!$A$4:$F$4,0))</f>
        <v>100</v>
      </c>
      <c r="AO31" s="194">
        <f>AJ31/(AN31/Parameters!$B$9)</f>
        <v>37.568648702000004</v>
      </c>
    </row>
    <row r="32" spans="1:41" ht="14.4">
      <c r="A32" s="4" t="str">
        <f t="shared" ref="A32" si="179">C32&amp;" "&amp;D32&amp;" "&amp;E32&amp;" "&amp;G32</f>
        <v>ZBT ISDN15 100 VVE nieuwe aanleg</v>
      </c>
      <c r="B32" s="4" t="str">
        <f t="shared" ref="B32" si="180">C32&amp;D32</f>
        <v>ZBTISDN15</v>
      </c>
      <c r="C32" s="189" t="s">
        <v>488</v>
      </c>
      <c r="D32" s="133" t="s">
        <v>466</v>
      </c>
      <c r="E32" s="285">
        <v>100</v>
      </c>
      <c r="F32" s="178" t="s">
        <v>1271</v>
      </c>
      <c r="G32" s="133" t="s">
        <v>458</v>
      </c>
      <c r="H32" s="189"/>
      <c r="I32" s="133"/>
      <c r="J32" s="190"/>
      <c r="K32" s="133" t="str">
        <f t="shared" ref="K32" si="181">C32&amp;D32&amp;E32&amp;G32</f>
        <v>ZBTISDN15100VVE nieuwe aanleg</v>
      </c>
      <c r="L32" s="133" t="str">
        <f t="shared" ref="L32" si="182">C32&amp;SUBSTITUTE(D32,"ISDN30 eerste aansluiting","ISDN30")&amp;E32&amp;F32</f>
        <v>ZBTISDN15100IDD contractsduurkorting</v>
      </c>
      <c r="M32" s="329" t="str">
        <f t="shared" ref="M32" si="183">H32&amp;I32&amp;J32</f>
        <v/>
      </c>
      <c r="N32" s="329"/>
      <c r="P32" s="189">
        <f>MATCH(K32,'Rekenblad Aansluiting'!A:A,0)</f>
        <v>68</v>
      </c>
      <c r="Q32" s="133">
        <f>MATCH(L32,'Rekenblad Verkeer'!A:A,0)</f>
        <v>32</v>
      </c>
      <c r="R32" s="190"/>
      <c r="T32" s="238">
        <f>INDEX('Rekenblad Aansluiting'!O:O,'Rekenblad combi'!P32)</f>
        <v>102.77777777777777</v>
      </c>
      <c r="U32" s="149">
        <f>INDEX('Rekenblad Verkeer'!AG:AG,'Rekenblad combi'!Q32)</f>
        <v>58.5</v>
      </c>
      <c r="V32" s="149"/>
      <c r="W32" s="239">
        <f t="shared" ref="W32" si="184">T32+U32</f>
        <v>161.27777777777777</v>
      </c>
      <c r="Y32" s="191">
        <f>INDEX('Rekenblad Aansluiting'!X:X,'Rekenblad combi'!P32)</f>
        <v>65.379043694444434</v>
      </c>
      <c r="Z32" s="142">
        <f>INDEX('Rekenblad Verkeer'!AR:AR,'Rekenblad combi'!Q32)</f>
        <v>27.675779444444444</v>
      </c>
      <c r="AA32" s="142"/>
      <c r="AB32" s="191">
        <f t="shared" ref="AB32" si="185">Y32+Z32+AA32</f>
        <v>93.054823138888878</v>
      </c>
      <c r="AC32" s="145">
        <f t="shared" ref="AC32" si="186">AB32/W32</f>
        <v>0.57698478005511533</v>
      </c>
      <c r="AD32" s="190" t="b">
        <f t="shared" ref="AD32" si="187">AB32&lt;0</f>
        <v>0</v>
      </c>
      <c r="AE32" s="331" t="s">
        <v>868</v>
      </c>
      <c r="AG32" s="189">
        <f>INDEX('Rekenblad Aansluiting'!M:M,'Rekenblad combi'!P32)</f>
        <v>100</v>
      </c>
      <c r="AH32" s="192">
        <f t="shared" ref="AH32" si="188">AG32+U32</f>
        <v>158.5</v>
      </c>
      <c r="AI32" s="776">
        <f>INDEX('Rekenblad Aansluiting'!AI:AI,'Rekenblad combi'!P32)</f>
        <v>67.178488138888895</v>
      </c>
      <c r="AJ32" s="191">
        <f t="shared" ref="AJ32" si="189">AI32+Z32+AA32</f>
        <v>94.854267583333339</v>
      </c>
      <c r="AK32" s="145">
        <f t="shared" ref="AK32" si="190">AJ32/AH32</f>
        <v>0.59844963774973714</v>
      </c>
      <c r="AL32" s="190" t="b">
        <f t="shared" ref="AL32" si="191">AK32&lt;0</f>
        <v>0</v>
      </c>
      <c r="AN32" s="189">
        <f>INDEX('Tarieven ZM'!$A$4:$F$115,MATCH($B32,'Tarieven ZM'!$A$4:$A$115,0),MATCH('Tarieven ZM'!$F$4,'Tarieven ZM'!$A$4:$F$4,0))</f>
        <v>100</v>
      </c>
      <c r="AO32" s="194">
        <f>AJ32/(AN32/Parameters!$B$9)</f>
        <v>34.147536330000001</v>
      </c>
    </row>
    <row r="33" spans="1:41" ht="14.4">
      <c r="A33" s="4" t="str">
        <f t="shared" ref="A33" si="192">C33&amp;" "&amp;D33&amp;" "&amp;E33&amp;" "&amp;G33</f>
        <v>ZBT ISDN20 100 VVE nieuwe aanleg</v>
      </c>
      <c r="B33" s="4" t="str">
        <f t="shared" ref="B33" si="193">C33&amp;D33</f>
        <v>ZBTISDN20</v>
      </c>
      <c r="C33" s="189" t="s">
        <v>488</v>
      </c>
      <c r="D33" s="133" t="s">
        <v>468</v>
      </c>
      <c r="E33" s="285">
        <v>100</v>
      </c>
      <c r="F33" s="178" t="s">
        <v>1271</v>
      </c>
      <c r="G33" s="133" t="s">
        <v>458</v>
      </c>
      <c r="H33" s="189"/>
      <c r="I33" s="133"/>
      <c r="J33" s="190"/>
      <c r="K33" s="133" t="str">
        <f t="shared" ref="K33" si="194">C33&amp;D33&amp;E33&amp;G33</f>
        <v>ZBTISDN20100VVE nieuwe aanleg</v>
      </c>
      <c r="L33" s="133" t="str">
        <f t="shared" ref="L33" si="195">C33&amp;SUBSTITUTE(D33,"ISDN30 eerste aansluiting","ISDN30")&amp;E33&amp;F33</f>
        <v>ZBTISDN20100IDD contractsduurkorting</v>
      </c>
      <c r="M33" s="329" t="str">
        <f t="shared" ref="M33" si="196">H33&amp;I33&amp;J33</f>
        <v/>
      </c>
      <c r="N33" s="329"/>
      <c r="P33" s="189">
        <f>MATCH(K33,'Rekenblad Aansluiting'!A:A,0)</f>
        <v>69</v>
      </c>
      <c r="Q33" s="133">
        <f>MATCH(L33,'Rekenblad Verkeer'!A:A,0)</f>
        <v>33</v>
      </c>
      <c r="R33" s="190"/>
      <c r="T33" s="238">
        <f>INDEX('Rekenblad Aansluiting'!O:O,'Rekenblad combi'!P33)</f>
        <v>102.77777777777777</v>
      </c>
      <c r="U33" s="149">
        <f>INDEX('Rekenblad Verkeer'!AG:AG,'Rekenblad combi'!Q33)</f>
        <v>58.5</v>
      </c>
      <c r="V33" s="149"/>
      <c r="W33" s="239">
        <f t="shared" ref="W33" si="197">T33+U33</f>
        <v>161.27777777777777</v>
      </c>
      <c r="Y33" s="191">
        <f>INDEX('Rekenblad Aansluiting'!X:X,'Rekenblad combi'!P33)</f>
        <v>65.379043694444434</v>
      </c>
      <c r="Z33" s="142">
        <f>INDEX('Rekenblad Verkeer'!AR:AR,'Rekenblad combi'!Q33)</f>
        <v>27.675779444444444</v>
      </c>
      <c r="AA33" s="142"/>
      <c r="AB33" s="191">
        <f t="shared" ref="AB33" si="198">Y33+Z33+AA33</f>
        <v>93.054823138888878</v>
      </c>
      <c r="AC33" s="145">
        <f t="shared" ref="AC33" si="199">AB33/W33</f>
        <v>0.57698478005511533</v>
      </c>
      <c r="AD33" s="190" t="b">
        <f t="shared" ref="AD33" si="200">AB33&lt;0</f>
        <v>0</v>
      </c>
      <c r="AE33" s="331" t="s">
        <v>868</v>
      </c>
      <c r="AG33" s="189">
        <f>INDEX('Rekenblad Aansluiting'!M:M,'Rekenblad combi'!P33)</f>
        <v>100</v>
      </c>
      <c r="AH33" s="192">
        <f t="shared" ref="AH33" si="201">AG33+U33</f>
        <v>158.5</v>
      </c>
      <c r="AI33" s="776">
        <f>INDEX('Rekenblad Aansluiting'!AI:AI,'Rekenblad combi'!P33)</f>
        <v>67.178488138888895</v>
      </c>
      <c r="AJ33" s="191">
        <f t="shared" ref="AJ33" si="202">AI33+Z33+AA33</f>
        <v>94.854267583333339</v>
      </c>
      <c r="AK33" s="145">
        <f t="shared" ref="AK33" si="203">AJ33/AH33</f>
        <v>0.59844963774973714</v>
      </c>
      <c r="AL33" s="190" t="b">
        <f t="shared" ref="AL33" si="204">AK33&lt;0</f>
        <v>0</v>
      </c>
      <c r="AN33" s="189">
        <f>INDEX('Tarieven ZM'!$A$4:$F$115,MATCH($B33,'Tarieven ZM'!$A$4:$A$115,0),MATCH('Tarieven ZM'!$F$4,'Tarieven ZM'!$A$4:$F$4,0))</f>
        <v>100</v>
      </c>
      <c r="AO33" s="194">
        <f>AJ33/(AN33/Parameters!$B$9)</f>
        <v>34.147536330000001</v>
      </c>
    </row>
    <row r="34" spans="1:41" ht="14.4">
      <c r="A34" s="4" t="str">
        <f t="shared" ref="A34" si="205">C34&amp;" "&amp;D34&amp;" "&amp;E34&amp;" "&amp;G34</f>
        <v>ZBT ISDN30 eerste aansluiting 100 VVE nieuwe aanleg</v>
      </c>
      <c r="B34" s="4" t="str">
        <f t="shared" ref="B34" si="206">C34&amp;D34</f>
        <v>ZBTISDN30 eerste aansluiting</v>
      </c>
      <c r="C34" s="189" t="s">
        <v>488</v>
      </c>
      <c r="D34" s="133" t="s">
        <v>869</v>
      </c>
      <c r="E34" s="285">
        <v>100</v>
      </c>
      <c r="F34" s="178" t="s">
        <v>1271</v>
      </c>
      <c r="G34" s="133" t="s">
        <v>458</v>
      </c>
      <c r="H34" s="189"/>
      <c r="I34" s="133"/>
      <c r="J34" s="190"/>
      <c r="K34" s="133" t="str">
        <f t="shared" ref="K34" si="207">C34&amp;D34&amp;E34&amp;G34</f>
        <v>ZBTISDN30 eerste aansluiting100VVE nieuwe aanleg</v>
      </c>
      <c r="L34" s="133" t="str">
        <f t="shared" ref="L34" si="208">C34&amp;SUBSTITUTE(D34,"ISDN30 eerste aansluiting","ISDN30")&amp;E34&amp;F34</f>
        <v>ZBTISDN30100IDD contractsduurkorting</v>
      </c>
      <c r="M34" s="329" t="str">
        <f t="shared" ref="M34" si="209">H34&amp;I34&amp;J34</f>
        <v/>
      </c>
      <c r="N34" s="329"/>
      <c r="P34" s="189">
        <f>MATCH(K34,'Rekenblad Aansluiting'!A:A,0)</f>
        <v>70</v>
      </c>
      <c r="Q34" s="133">
        <f>MATCH(L34,'Rekenblad Verkeer'!A:A,0)</f>
        <v>34</v>
      </c>
      <c r="R34" s="190"/>
      <c r="T34" s="238">
        <f>INDEX('Rekenblad Aansluiting'!O:O,'Rekenblad combi'!P34)</f>
        <v>102.77777777777777</v>
      </c>
      <c r="U34" s="149">
        <f>INDEX('Rekenblad Verkeer'!AG:AG,'Rekenblad combi'!Q34)</f>
        <v>58.5</v>
      </c>
      <c r="V34" s="149"/>
      <c r="W34" s="239">
        <f t="shared" ref="W34" si="210">T34+U34</f>
        <v>161.27777777777777</v>
      </c>
      <c r="Y34" s="191">
        <f>INDEX('Rekenblad Aansluiting'!X:X,'Rekenblad combi'!P34)</f>
        <v>65.379043694444434</v>
      </c>
      <c r="Z34" s="142">
        <f>INDEX('Rekenblad Verkeer'!AR:AR,'Rekenblad combi'!Q34)</f>
        <v>27.675779444444444</v>
      </c>
      <c r="AA34" s="142"/>
      <c r="AB34" s="191">
        <f t="shared" ref="AB34" si="211">Y34+Z34+AA34</f>
        <v>93.054823138888878</v>
      </c>
      <c r="AC34" s="145">
        <f t="shared" ref="AC34" si="212">AB34/W34</f>
        <v>0.57698478005511533</v>
      </c>
      <c r="AD34" s="190" t="b">
        <f t="shared" ref="AD34" si="213">AB34&lt;0</f>
        <v>0</v>
      </c>
      <c r="AE34" s="331" t="s">
        <v>868</v>
      </c>
      <c r="AG34" s="189">
        <f>INDEX('Rekenblad Aansluiting'!M:M,'Rekenblad combi'!P34)</f>
        <v>100</v>
      </c>
      <c r="AH34" s="192">
        <f t="shared" ref="AH34" si="214">AG34+U34</f>
        <v>158.5</v>
      </c>
      <c r="AI34" s="776">
        <f>INDEX('Rekenblad Aansluiting'!AI:AI,'Rekenblad combi'!P34)</f>
        <v>67.178488138888895</v>
      </c>
      <c r="AJ34" s="191">
        <f t="shared" ref="AJ34" si="215">AI34+Z34+AA34</f>
        <v>94.854267583333339</v>
      </c>
      <c r="AK34" s="145">
        <f t="shared" ref="AK34" si="216">AJ34/AH34</f>
        <v>0.59844963774973714</v>
      </c>
      <c r="AL34" s="190" t="b">
        <f t="shared" ref="AL34" si="217">AK34&lt;0</f>
        <v>0</v>
      </c>
      <c r="AN34" s="189">
        <f>INDEX('Tarieven ZM'!$A$4:$F$115,MATCH($B34,'Tarieven ZM'!$A$4:$A$115,0),MATCH('Tarieven ZM'!$F$4,'Tarieven ZM'!$A$4:$F$4,0))</f>
        <v>100</v>
      </c>
      <c r="AO34" s="194">
        <f>AJ34/(AN34/Parameters!$B$9)</f>
        <v>34.147536330000001</v>
      </c>
    </row>
    <row r="35" spans="1:41" ht="14.4">
      <c r="A35" s="4" t="str">
        <f t="shared" ref="A35:A36" si="218">C35&amp;" "&amp;D35&amp;" "&amp;E35&amp;" "&amp;G35</f>
        <v>ZBT Cityphone 100 VVE nieuwe aanleg</v>
      </c>
      <c r="B35" s="4" t="str">
        <f t="shared" ref="B35" si="219">C35&amp;D35</f>
        <v>ZBTCityphone</v>
      </c>
      <c r="C35" s="189" t="s">
        <v>488</v>
      </c>
      <c r="D35" s="133" t="s">
        <v>520</v>
      </c>
      <c r="E35" s="285">
        <v>100</v>
      </c>
      <c r="F35" s="178" t="s">
        <v>1271</v>
      </c>
      <c r="G35" s="133" t="s">
        <v>458</v>
      </c>
      <c r="H35" s="189"/>
      <c r="I35" s="133"/>
      <c r="J35" s="190"/>
      <c r="K35" s="133" t="str">
        <f t="shared" ref="K35:K36" si="220">C35&amp;D35&amp;E35&amp;G35</f>
        <v>ZBTCityphone100VVE nieuwe aanleg</v>
      </c>
      <c r="L35" s="133" t="str">
        <f t="shared" ref="L35:L36" si="221">C35&amp;SUBSTITUTE(D35,"ISDN30 eerste aansluiting","ISDN30")&amp;E35&amp;F35</f>
        <v>ZBTCityphone100IDD contractsduurkorting</v>
      </c>
      <c r="M35" s="329" t="str">
        <f t="shared" ref="M35" si="222">H35&amp;I35&amp;J35</f>
        <v/>
      </c>
      <c r="N35" s="329"/>
      <c r="P35" s="189">
        <f>MATCH(K35,'Rekenblad Aansluiting'!A:A,0)</f>
        <v>71</v>
      </c>
      <c r="Q35" s="133">
        <f>MATCH(L35,'Rekenblad Verkeer'!A:A,0)</f>
        <v>35</v>
      </c>
      <c r="R35" s="190"/>
      <c r="T35" s="238">
        <f>INDEX('Rekenblad Aansluiting'!O:O,'Rekenblad combi'!P35)</f>
        <v>102.77777777777777</v>
      </c>
      <c r="U35" s="149">
        <f>INDEX('Rekenblad Verkeer'!AG:AG,'Rekenblad combi'!Q35)</f>
        <v>58.5</v>
      </c>
      <c r="V35" s="149"/>
      <c r="W35" s="239">
        <f t="shared" ref="W35" si="223">T35+U35</f>
        <v>161.27777777777777</v>
      </c>
      <c r="Y35" s="191">
        <f>INDEX('Rekenblad Aansluiting'!X:X,'Rekenblad combi'!P35)</f>
        <v>87.868888888888875</v>
      </c>
      <c r="Z35" s="142">
        <f>INDEX('Rekenblad Verkeer'!AR:AR,'Rekenblad combi'!Q35)</f>
        <v>27.675779444444444</v>
      </c>
      <c r="AA35" s="142"/>
      <c r="AB35" s="191">
        <f t="shared" ref="AB35" si="224">Y35+Z35+AA35</f>
        <v>115.54466833333332</v>
      </c>
      <c r="AC35" s="145">
        <f t="shared" ref="AC35" si="225">AB35/W35</f>
        <v>0.71643266620737167</v>
      </c>
      <c r="AD35" s="190" t="b">
        <f t="shared" ref="AD35" si="226">AB35&lt;0</f>
        <v>0</v>
      </c>
      <c r="AE35" s="331" t="s">
        <v>868</v>
      </c>
      <c r="AG35" s="189">
        <f>INDEX('Rekenblad Aansluiting'!M:M,'Rekenblad combi'!P35)</f>
        <v>100</v>
      </c>
      <c r="AH35" s="192">
        <f t="shared" ref="AH35:AH36" si="227">AG35+U35</f>
        <v>158.5</v>
      </c>
      <c r="AI35" s="776">
        <f>INDEX('Rekenblad Aansluiting'!AI:AI,'Rekenblad combi'!P35)</f>
        <v>85.49666666666667</v>
      </c>
      <c r="AJ35" s="191">
        <f t="shared" ref="AJ35:AJ36" si="228">AI35+Z35+AA35</f>
        <v>113.17244611111111</v>
      </c>
      <c r="AK35" s="145">
        <f t="shared" ref="AK35:AK36" si="229">AJ35/AH35</f>
        <v>0.7140217420259376</v>
      </c>
      <c r="AL35" s="190" t="b">
        <f t="shared" ref="AL35:AL36" si="230">AK35&lt;0</f>
        <v>0</v>
      </c>
      <c r="AN35" s="189">
        <f>INDEX('Tarieven ZM'!$A$4:$F$115,MATCH($B35,'Tarieven ZM'!$A$4:$A$115,0),MATCH('Tarieven ZM'!$F$4,'Tarieven ZM'!$A$4:$F$4,0))</f>
        <v>100</v>
      </c>
      <c r="AO35" s="194">
        <f>AJ35/(AN35/Parameters!$B$9)</f>
        <v>40.742080600000001</v>
      </c>
    </row>
    <row r="36" spans="1:41" ht="14.4">
      <c r="A36" s="4" t="str">
        <f t="shared" si="218"/>
        <v>ZBT ISDN1 100 VVE overstap</v>
      </c>
      <c r="B36" s="4" t="str">
        <f t="shared" ref="B36:B37" si="231">C36&amp;D36</f>
        <v>ZBTISDN1</v>
      </c>
      <c r="C36" s="189" t="s">
        <v>488</v>
      </c>
      <c r="D36" s="133" t="s">
        <v>464</v>
      </c>
      <c r="E36" s="285">
        <v>100</v>
      </c>
      <c r="F36" s="178" t="s">
        <v>1271</v>
      </c>
      <c r="G36" s="133" t="s">
        <v>459</v>
      </c>
      <c r="H36" s="189"/>
      <c r="I36" s="133"/>
      <c r="J36" s="190"/>
      <c r="K36" s="133" t="str">
        <f t="shared" si="220"/>
        <v>ZBTISDN1100VVE overstap</v>
      </c>
      <c r="L36" s="133" t="str">
        <f t="shared" si="221"/>
        <v>ZBTISDN1100IDD contractsduurkorting</v>
      </c>
      <c r="M36" s="329" t="str">
        <f t="shared" ref="M36:M37" si="232">H36&amp;I36&amp;J36</f>
        <v/>
      </c>
      <c r="N36" s="329"/>
      <c r="P36" s="189">
        <f>MATCH(K36,'Rekenblad Aansluiting'!A:A,0)</f>
        <v>65</v>
      </c>
      <c r="Q36" s="133">
        <f>MATCH(L36,'Rekenblad Verkeer'!A:A,0)</f>
        <v>30</v>
      </c>
      <c r="R36" s="190"/>
      <c r="T36" s="238">
        <f>INDEX('Rekenblad Aansluiting'!O:O,'Rekenblad combi'!P36)</f>
        <v>102.77777777777777</v>
      </c>
      <c r="U36" s="149">
        <f>INDEX('Rekenblad Verkeer'!AG:AG,'Rekenblad combi'!Q36)</f>
        <v>58.5</v>
      </c>
      <c r="V36" s="149"/>
      <c r="W36" s="239">
        <f t="shared" ref="W36:W37" si="233">T36+U36</f>
        <v>161.27777777777777</v>
      </c>
      <c r="Y36" s="191">
        <f>INDEX('Rekenblad Aansluiting'!X:X,'Rekenblad combi'!P36)</f>
        <v>78.617966949999996</v>
      </c>
      <c r="Z36" s="142">
        <f>INDEX('Rekenblad Verkeer'!AR:AR,'Rekenblad combi'!Q36)</f>
        <v>27.675779444444444</v>
      </c>
      <c r="AA36" s="142"/>
      <c r="AB36" s="191">
        <f t="shared" ref="AB36:AB37" si="234">Y36+Z36+AA36</f>
        <v>106.29374639444444</v>
      </c>
      <c r="AC36" s="145">
        <f t="shared" ref="AC36:AC37" si="235">AB36/W36</f>
        <v>0.65907248883913194</v>
      </c>
      <c r="AD36" s="190" t="b">
        <f t="shared" ref="AD36:AD37" si="236">AB36&lt;0</f>
        <v>0</v>
      </c>
      <c r="AE36" s="331" t="s">
        <v>868</v>
      </c>
      <c r="AG36" s="189">
        <f>INDEX('Rekenblad Aansluiting'!M:M,'Rekenblad combi'!P36)</f>
        <v>100</v>
      </c>
      <c r="AH36" s="192">
        <f t="shared" si="227"/>
        <v>158.5</v>
      </c>
      <c r="AI36" s="776">
        <f>INDEX('Rekenblad Aansluiting'!AI:AI,'Rekenblad combi'!P36)</f>
        <v>76.681578061111111</v>
      </c>
      <c r="AJ36" s="191">
        <f t="shared" si="228"/>
        <v>104.35735750555556</v>
      </c>
      <c r="AK36" s="145">
        <f t="shared" si="229"/>
        <v>0.6584060410445145</v>
      </c>
      <c r="AL36" s="190" t="b">
        <f t="shared" si="230"/>
        <v>0</v>
      </c>
      <c r="AN36" s="189">
        <f>INDEX('Tarieven ZM'!$A$4:$F$115,MATCH($B36,'Tarieven ZM'!$A$4:$A$115,0),MATCH('Tarieven ZM'!$F$4,'Tarieven ZM'!$A$4:$F$4,0))</f>
        <v>100</v>
      </c>
      <c r="AO36" s="194">
        <f>AJ36/(AN36/Parameters!$B$9)</f>
        <v>37.568648702000004</v>
      </c>
    </row>
    <row r="37" spans="1:41" ht="14.4">
      <c r="A37" s="4" t="str">
        <f t="shared" ref="A37" si="237">C37&amp;" "&amp;D37&amp;" "&amp;E37&amp;" "&amp;G37</f>
        <v>ZBT ISDN2 100 VVE overstap</v>
      </c>
      <c r="B37" s="4" t="str">
        <f t="shared" si="231"/>
        <v>ZBTISDN2</v>
      </c>
      <c r="C37" s="189" t="s">
        <v>488</v>
      </c>
      <c r="D37" s="133" t="s">
        <v>465</v>
      </c>
      <c r="E37" s="285">
        <v>100</v>
      </c>
      <c r="F37" s="178" t="s">
        <v>1271</v>
      </c>
      <c r="G37" s="133" t="s">
        <v>459</v>
      </c>
      <c r="H37" s="189"/>
      <c r="I37" s="133"/>
      <c r="J37" s="190"/>
      <c r="K37" s="133" t="str">
        <f t="shared" ref="K37" si="238">C37&amp;D37&amp;E37&amp;G37</f>
        <v>ZBTISDN2100VVE overstap</v>
      </c>
      <c r="L37" s="133" t="str">
        <f t="shared" ref="L37" si="239">C37&amp;SUBSTITUTE(D37,"ISDN30 eerste aansluiting","ISDN30")&amp;E37&amp;F37</f>
        <v>ZBTISDN2100IDD contractsduurkorting</v>
      </c>
      <c r="M37" s="329" t="str">
        <f t="shared" si="232"/>
        <v/>
      </c>
      <c r="N37" s="329"/>
      <c r="P37" s="189">
        <f>MATCH(K37,'Rekenblad Aansluiting'!A:A,0)</f>
        <v>67</v>
      </c>
      <c r="Q37" s="133">
        <f>MATCH(L37,'Rekenblad Verkeer'!A:A,0)</f>
        <v>31</v>
      </c>
      <c r="R37" s="190"/>
      <c r="T37" s="238">
        <f>INDEX('Rekenblad Aansluiting'!O:O,'Rekenblad combi'!P37)</f>
        <v>102.77777777777777</v>
      </c>
      <c r="U37" s="149">
        <f>INDEX('Rekenblad Verkeer'!AG:AG,'Rekenblad combi'!Q37)</f>
        <v>58.5</v>
      </c>
      <c r="V37" s="149"/>
      <c r="W37" s="239">
        <f t="shared" si="233"/>
        <v>161.27777777777777</v>
      </c>
      <c r="Y37" s="191">
        <f>INDEX('Rekenblad Aansluiting'!X:X,'Rekenblad combi'!P37)</f>
        <v>78.617966949999996</v>
      </c>
      <c r="Z37" s="142">
        <f>INDEX('Rekenblad Verkeer'!AR:AR,'Rekenblad combi'!Q37)</f>
        <v>27.675779444444444</v>
      </c>
      <c r="AA37" s="142"/>
      <c r="AB37" s="191">
        <f t="shared" si="234"/>
        <v>106.29374639444444</v>
      </c>
      <c r="AC37" s="145">
        <f t="shared" si="235"/>
        <v>0.65907248883913194</v>
      </c>
      <c r="AD37" s="190" t="b">
        <f t="shared" si="236"/>
        <v>0</v>
      </c>
      <c r="AE37" s="331" t="s">
        <v>868</v>
      </c>
      <c r="AG37" s="189">
        <f>INDEX('Rekenblad Aansluiting'!M:M,'Rekenblad combi'!P37)</f>
        <v>100</v>
      </c>
      <c r="AH37" s="192">
        <f t="shared" ref="AH37" si="240">AG37+U37</f>
        <v>158.5</v>
      </c>
      <c r="AI37" s="776">
        <f>INDEX('Rekenblad Aansluiting'!AI:AI,'Rekenblad combi'!P37)</f>
        <v>76.681578061111111</v>
      </c>
      <c r="AJ37" s="191">
        <f t="shared" ref="AJ37" si="241">AI37+Z37+AA37</f>
        <v>104.35735750555556</v>
      </c>
      <c r="AK37" s="145">
        <f t="shared" ref="AK37" si="242">AJ37/AH37</f>
        <v>0.6584060410445145</v>
      </c>
      <c r="AL37" s="190" t="b">
        <f t="shared" ref="AL37" si="243">AK37&lt;0</f>
        <v>0</v>
      </c>
      <c r="AN37" s="189">
        <f>INDEX('Tarieven ZM'!$A$4:$F$115,MATCH($B37,'Tarieven ZM'!$A$4:$A$115,0),MATCH('Tarieven ZM'!$F$4,'Tarieven ZM'!$A$4:$F$4,0))</f>
        <v>100</v>
      </c>
      <c r="AO37" s="194">
        <f>AJ37/(AN37/Parameters!$B$9)</f>
        <v>37.568648702000004</v>
      </c>
    </row>
    <row r="38" spans="1:41" ht="14.4">
      <c r="A38" s="4" t="str">
        <f t="shared" ref="A38" si="244">C38&amp;" "&amp;D38&amp;" "&amp;E38&amp;" "&amp;G38</f>
        <v>ZBT ISDN15 100 VVE overstap</v>
      </c>
      <c r="B38" s="4" t="str">
        <f t="shared" ref="B38" si="245">C38&amp;D38</f>
        <v>ZBTISDN15</v>
      </c>
      <c r="C38" s="189" t="s">
        <v>488</v>
      </c>
      <c r="D38" s="133" t="s">
        <v>466</v>
      </c>
      <c r="E38" s="285">
        <v>100</v>
      </c>
      <c r="F38" s="178" t="s">
        <v>1271</v>
      </c>
      <c r="G38" s="133" t="s">
        <v>459</v>
      </c>
      <c r="H38" s="189"/>
      <c r="I38" s="133"/>
      <c r="J38" s="190"/>
      <c r="K38" s="133" t="str">
        <f t="shared" ref="K38" si="246">C38&amp;D38&amp;E38&amp;G38</f>
        <v>ZBTISDN15100VVE overstap</v>
      </c>
      <c r="L38" s="133" t="str">
        <f t="shared" ref="L38" si="247">C38&amp;SUBSTITUTE(D38,"ISDN30 eerste aansluiting","ISDN30")&amp;E38&amp;F38</f>
        <v>ZBTISDN15100IDD contractsduurkorting</v>
      </c>
      <c r="M38" s="329" t="str">
        <f t="shared" ref="M38" si="248">H38&amp;I38&amp;J38</f>
        <v/>
      </c>
      <c r="N38" s="329"/>
      <c r="P38" s="189">
        <f>MATCH(K38,'Rekenblad Aansluiting'!A:A,0)</f>
        <v>72</v>
      </c>
      <c r="Q38" s="133">
        <f>MATCH(L38,'Rekenblad Verkeer'!A:A,0)</f>
        <v>32</v>
      </c>
      <c r="R38" s="190"/>
      <c r="T38" s="238">
        <f>INDEX('Rekenblad Aansluiting'!O:O,'Rekenblad combi'!P38)</f>
        <v>102.77777777777777</v>
      </c>
      <c r="U38" s="149">
        <f>INDEX('Rekenblad Verkeer'!AG:AG,'Rekenblad combi'!Q38)</f>
        <v>58.5</v>
      </c>
      <c r="V38" s="149"/>
      <c r="W38" s="239">
        <f t="shared" ref="W38" si="249">T38+U38</f>
        <v>161.27777777777777</v>
      </c>
      <c r="Y38" s="191">
        <f>INDEX('Rekenblad Aansluiting'!X:X,'Rekenblad combi'!P38)</f>
        <v>68.579043694444437</v>
      </c>
      <c r="Z38" s="142">
        <f>INDEX('Rekenblad Verkeer'!AR:AR,'Rekenblad combi'!Q38)</f>
        <v>27.675779444444444</v>
      </c>
      <c r="AA38" s="142"/>
      <c r="AB38" s="191">
        <f t="shared" ref="AB38" si="250">Y38+Z38+AA38</f>
        <v>96.254823138888881</v>
      </c>
      <c r="AC38" s="145">
        <f t="shared" ref="AC38" si="251">AB38/W38</f>
        <v>0.59682632328625562</v>
      </c>
      <c r="AD38" s="190" t="b">
        <f t="shared" ref="AD38" si="252">AB38&lt;0</f>
        <v>0</v>
      </c>
      <c r="AE38" s="331" t="s">
        <v>868</v>
      </c>
      <c r="AG38" s="189">
        <f>INDEX('Rekenblad Aansluiting'!M:M,'Rekenblad combi'!P38)</f>
        <v>100</v>
      </c>
      <c r="AH38" s="192">
        <f t="shared" ref="AH38" si="253">AG38+U38</f>
        <v>158.5</v>
      </c>
      <c r="AI38" s="776">
        <f>INDEX('Rekenblad Aansluiting'!AI:AI,'Rekenblad combi'!P38)</f>
        <v>67.178488138888895</v>
      </c>
      <c r="AJ38" s="191">
        <f t="shared" ref="AJ38" si="254">AI38+Z38+AA38</f>
        <v>94.854267583333339</v>
      </c>
      <c r="AK38" s="145">
        <f t="shared" ref="AK38" si="255">AJ38/AH38</f>
        <v>0.59844963774973714</v>
      </c>
      <c r="AL38" s="190" t="b">
        <f t="shared" ref="AL38" si="256">AK38&lt;0</f>
        <v>0</v>
      </c>
      <c r="AN38" s="189">
        <f>INDEX('Tarieven ZM'!$A$4:$F$115,MATCH($B38,'Tarieven ZM'!$A$4:$A$115,0),MATCH('Tarieven ZM'!$F$4,'Tarieven ZM'!$A$4:$F$4,0))</f>
        <v>100</v>
      </c>
      <c r="AO38" s="194">
        <f>AJ38/(AN38/Parameters!$B$9)</f>
        <v>34.147536330000001</v>
      </c>
    </row>
    <row r="39" spans="1:41" ht="14.4">
      <c r="A39" s="4" t="str">
        <f t="shared" ref="A39" si="257">C39&amp;" "&amp;D39&amp;" "&amp;E39&amp;" "&amp;G39</f>
        <v>ZBT ISDN20 100 VVE overstap</v>
      </c>
      <c r="B39" s="4" t="str">
        <f t="shared" ref="B39" si="258">C39&amp;D39</f>
        <v>ZBTISDN20</v>
      </c>
      <c r="C39" s="189" t="s">
        <v>488</v>
      </c>
      <c r="D39" s="133" t="s">
        <v>468</v>
      </c>
      <c r="E39" s="285">
        <v>100</v>
      </c>
      <c r="F39" s="178" t="s">
        <v>1271</v>
      </c>
      <c r="G39" s="133" t="s">
        <v>459</v>
      </c>
      <c r="H39" s="189"/>
      <c r="I39" s="133"/>
      <c r="J39" s="190"/>
      <c r="K39" s="133" t="str">
        <f t="shared" ref="K39" si="259">C39&amp;D39&amp;E39&amp;G39</f>
        <v>ZBTISDN20100VVE overstap</v>
      </c>
      <c r="L39" s="133" t="str">
        <f t="shared" ref="L39" si="260">C39&amp;SUBSTITUTE(D39,"ISDN30 eerste aansluiting","ISDN30")&amp;E39&amp;F39</f>
        <v>ZBTISDN20100IDD contractsduurkorting</v>
      </c>
      <c r="M39" s="329" t="str">
        <f t="shared" ref="M39" si="261">H39&amp;I39&amp;J39</f>
        <v/>
      </c>
      <c r="N39" s="329"/>
      <c r="P39" s="189">
        <f>MATCH(K39,'Rekenblad Aansluiting'!A:A,0)</f>
        <v>73</v>
      </c>
      <c r="Q39" s="133">
        <f>MATCH(L39,'Rekenblad Verkeer'!A:A,0)</f>
        <v>33</v>
      </c>
      <c r="R39" s="190"/>
      <c r="T39" s="238">
        <f>INDEX('Rekenblad Aansluiting'!O:O,'Rekenblad combi'!P39)</f>
        <v>102.77777777777777</v>
      </c>
      <c r="U39" s="149">
        <f>INDEX('Rekenblad Verkeer'!AG:AG,'Rekenblad combi'!Q39)</f>
        <v>58.5</v>
      </c>
      <c r="V39" s="149"/>
      <c r="W39" s="239">
        <f t="shared" ref="W39" si="262">T39+U39</f>
        <v>161.27777777777777</v>
      </c>
      <c r="Y39" s="191">
        <f>INDEX('Rekenblad Aansluiting'!X:X,'Rekenblad combi'!P39)</f>
        <v>68.579043694444437</v>
      </c>
      <c r="Z39" s="142">
        <f>INDEX('Rekenblad Verkeer'!AR:AR,'Rekenblad combi'!Q39)</f>
        <v>27.675779444444444</v>
      </c>
      <c r="AA39" s="142"/>
      <c r="AB39" s="191">
        <f t="shared" ref="AB39" si="263">Y39+Z39+AA39</f>
        <v>96.254823138888881</v>
      </c>
      <c r="AC39" s="145">
        <f t="shared" ref="AC39" si="264">AB39/W39</f>
        <v>0.59682632328625562</v>
      </c>
      <c r="AD39" s="190" t="b">
        <f t="shared" ref="AD39" si="265">AB39&lt;0</f>
        <v>0</v>
      </c>
      <c r="AE39" s="331" t="s">
        <v>868</v>
      </c>
      <c r="AG39" s="189">
        <f>INDEX('Rekenblad Aansluiting'!M:M,'Rekenblad combi'!P39)</f>
        <v>100</v>
      </c>
      <c r="AH39" s="192">
        <f t="shared" ref="AH39" si="266">AG39+U39</f>
        <v>158.5</v>
      </c>
      <c r="AI39" s="776">
        <f>INDEX('Rekenblad Aansluiting'!AI:AI,'Rekenblad combi'!P39)</f>
        <v>67.178488138888895</v>
      </c>
      <c r="AJ39" s="191">
        <f t="shared" ref="AJ39" si="267">AI39+Z39+AA39</f>
        <v>94.854267583333339</v>
      </c>
      <c r="AK39" s="145">
        <f t="shared" ref="AK39" si="268">AJ39/AH39</f>
        <v>0.59844963774973714</v>
      </c>
      <c r="AL39" s="190" t="b">
        <f t="shared" ref="AL39" si="269">AK39&lt;0</f>
        <v>0</v>
      </c>
      <c r="AN39" s="189">
        <f>INDEX('Tarieven ZM'!$A$4:$F$115,MATCH($B39,'Tarieven ZM'!$A$4:$A$115,0),MATCH('Tarieven ZM'!$F$4,'Tarieven ZM'!$A$4:$F$4,0))</f>
        <v>100</v>
      </c>
      <c r="AO39" s="194">
        <f>AJ39/(AN39/Parameters!$B$9)</f>
        <v>34.147536330000001</v>
      </c>
    </row>
    <row r="40" spans="1:41" ht="14.4">
      <c r="A40" s="4" t="str">
        <f t="shared" ref="A40" si="270">C40&amp;" "&amp;D40&amp;" "&amp;E40&amp;" "&amp;G40</f>
        <v>ZBT ISDN30 eerste aansluiting 100 VVE overstap</v>
      </c>
      <c r="B40" s="4" t="str">
        <f t="shared" ref="B40" si="271">C40&amp;D40</f>
        <v>ZBTISDN30 eerste aansluiting</v>
      </c>
      <c r="C40" s="189" t="s">
        <v>488</v>
      </c>
      <c r="D40" s="133" t="s">
        <v>869</v>
      </c>
      <c r="E40" s="285">
        <v>100</v>
      </c>
      <c r="F40" s="178" t="s">
        <v>1271</v>
      </c>
      <c r="G40" s="133" t="s">
        <v>459</v>
      </c>
      <c r="H40" s="189"/>
      <c r="I40" s="133"/>
      <c r="J40" s="190"/>
      <c r="K40" s="133" t="str">
        <f t="shared" ref="K40" si="272">C40&amp;D40&amp;E40&amp;G40</f>
        <v>ZBTISDN30 eerste aansluiting100VVE overstap</v>
      </c>
      <c r="L40" s="133" t="str">
        <f t="shared" ref="L40" si="273">C40&amp;SUBSTITUTE(D40,"ISDN30 eerste aansluiting","ISDN30")&amp;E40&amp;F40</f>
        <v>ZBTISDN30100IDD contractsduurkorting</v>
      </c>
      <c r="M40" s="329" t="str">
        <f t="shared" ref="M40" si="274">H40&amp;I40&amp;J40</f>
        <v/>
      </c>
      <c r="N40" s="329"/>
      <c r="P40" s="189">
        <f>MATCH(K40,'Rekenblad Aansluiting'!A:A,0)</f>
        <v>74</v>
      </c>
      <c r="Q40" s="133">
        <f>MATCH(L40,'Rekenblad Verkeer'!A:A,0)</f>
        <v>34</v>
      </c>
      <c r="R40" s="190"/>
      <c r="T40" s="238">
        <f>INDEX('Rekenblad Aansluiting'!O:O,'Rekenblad combi'!P40)</f>
        <v>102.77777777777777</v>
      </c>
      <c r="U40" s="149">
        <f>INDEX('Rekenblad Verkeer'!AG:AG,'Rekenblad combi'!Q40)</f>
        <v>58.5</v>
      </c>
      <c r="V40" s="149"/>
      <c r="W40" s="239">
        <f t="shared" ref="W40" si="275">T40+U40</f>
        <v>161.27777777777777</v>
      </c>
      <c r="Y40" s="191">
        <f>INDEX('Rekenblad Aansluiting'!X:X,'Rekenblad combi'!P40)</f>
        <v>68.579043694444437</v>
      </c>
      <c r="Z40" s="142">
        <f>INDEX('Rekenblad Verkeer'!AR:AR,'Rekenblad combi'!Q40)</f>
        <v>27.675779444444444</v>
      </c>
      <c r="AA40" s="142"/>
      <c r="AB40" s="191">
        <f t="shared" ref="AB40" si="276">Y40+Z40+AA40</f>
        <v>96.254823138888881</v>
      </c>
      <c r="AC40" s="145">
        <f t="shared" ref="AC40" si="277">AB40/W40</f>
        <v>0.59682632328625562</v>
      </c>
      <c r="AD40" s="190" t="b">
        <f t="shared" ref="AD40" si="278">AB40&lt;0</f>
        <v>0</v>
      </c>
      <c r="AE40" s="331" t="s">
        <v>868</v>
      </c>
      <c r="AG40" s="189">
        <f>INDEX('Rekenblad Aansluiting'!M:M,'Rekenblad combi'!P40)</f>
        <v>100</v>
      </c>
      <c r="AH40" s="192">
        <f t="shared" ref="AH40" si="279">AG40+U40</f>
        <v>158.5</v>
      </c>
      <c r="AI40" s="776">
        <f>INDEX('Rekenblad Aansluiting'!AI:AI,'Rekenblad combi'!P40)</f>
        <v>67.178488138888895</v>
      </c>
      <c r="AJ40" s="191">
        <f t="shared" ref="AJ40" si="280">AI40+Z40+AA40</f>
        <v>94.854267583333339</v>
      </c>
      <c r="AK40" s="145">
        <f t="shared" ref="AK40" si="281">AJ40/AH40</f>
        <v>0.59844963774973714</v>
      </c>
      <c r="AL40" s="190" t="b">
        <f t="shared" ref="AL40" si="282">AK40&lt;0</f>
        <v>0</v>
      </c>
      <c r="AN40" s="189">
        <f>INDEX('Tarieven ZM'!$A$4:$F$115,MATCH($B40,'Tarieven ZM'!$A$4:$A$115,0),MATCH('Tarieven ZM'!$F$4,'Tarieven ZM'!$A$4:$F$4,0))</f>
        <v>100</v>
      </c>
      <c r="AO40" s="194">
        <f>AJ40/(AN40/Parameters!$B$9)</f>
        <v>34.147536330000001</v>
      </c>
    </row>
    <row r="41" spans="1:41" ht="14.4">
      <c r="A41" s="4" t="str">
        <f t="shared" ref="A41" si="283">C41&amp;" "&amp;D41&amp;" "&amp;E41&amp;" "&amp;G41</f>
        <v>ZBT Cityphone 100 VVE overstap</v>
      </c>
      <c r="B41" s="4" t="str">
        <f t="shared" ref="B41" si="284">C41&amp;D41</f>
        <v>ZBTCityphone</v>
      </c>
      <c r="C41" s="189" t="s">
        <v>488</v>
      </c>
      <c r="D41" s="133" t="s">
        <v>520</v>
      </c>
      <c r="E41" s="285">
        <v>100</v>
      </c>
      <c r="F41" s="178" t="s">
        <v>1271</v>
      </c>
      <c r="G41" s="133" t="s">
        <v>459</v>
      </c>
      <c r="H41" s="189"/>
      <c r="I41" s="133"/>
      <c r="J41" s="190"/>
      <c r="K41" s="133" t="str">
        <f t="shared" ref="K41" si="285">C41&amp;D41&amp;E41&amp;G41</f>
        <v>ZBTCityphone100VVE overstap</v>
      </c>
      <c r="L41" s="133" t="str">
        <f t="shared" ref="L41" si="286">C41&amp;SUBSTITUTE(D41,"ISDN30 eerste aansluiting","ISDN30")&amp;E41&amp;F41</f>
        <v>ZBTCityphone100IDD contractsduurkorting</v>
      </c>
      <c r="M41" s="329" t="str">
        <f t="shared" ref="M41:M44" si="287">H41&amp;I41&amp;J41</f>
        <v/>
      </c>
      <c r="N41" s="329"/>
      <c r="P41" s="189">
        <f>MATCH(K41,'Rekenblad Aansluiting'!A:A,0)</f>
        <v>75</v>
      </c>
      <c r="Q41" s="133">
        <f>MATCH(L41,'Rekenblad Verkeer'!A:A,0)</f>
        <v>35</v>
      </c>
      <c r="R41" s="190"/>
      <c r="T41" s="238">
        <f>INDEX('Rekenblad Aansluiting'!O:O,'Rekenblad combi'!P41)</f>
        <v>102.77777777777777</v>
      </c>
      <c r="U41" s="149">
        <f>INDEX('Rekenblad Verkeer'!AG:AG,'Rekenblad combi'!Q41)</f>
        <v>58.5</v>
      </c>
      <c r="V41" s="149"/>
      <c r="W41" s="239">
        <f t="shared" ref="W41" si="288">T41+U41</f>
        <v>161.27777777777777</v>
      </c>
      <c r="Y41" s="191">
        <f>INDEX('Rekenblad Aansluiting'!X:X,'Rekenblad combi'!P41)</f>
        <v>87.868888888888875</v>
      </c>
      <c r="Z41" s="142">
        <f>INDEX('Rekenblad Verkeer'!AR:AR,'Rekenblad combi'!Q41)</f>
        <v>27.675779444444444</v>
      </c>
      <c r="AA41" s="142"/>
      <c r="AB41" s="191">
        <f t="shared" ref="AB41" si="289">Y41+Z41+AA41</f>
        <v>115.54466833333332</v>
      </c>
      <c r="AC41" s="145">
        <f t="shared" ref="AC41" si="290">AB41/W41</f>
        <v>0.71643266620737167</v>
      </c>
      <c r="AD41" s="190" t="b">
        <f t="shared" ref="AD41" si="291">AB41&lt;0</f>
        <v>0</v>
      </c>
      <c r="AE41" s="331" t="s">
        <v>868</v>
      </c>
      <c r="AG41" s="189">
        <f>INDEX('Rekenblad Aansluiting'!M:M,'Rekenblad combi'!P41)</f>
        <v>100</v>
      </c>
      <c r="AH41" s="192">
        <f t="shared" ref="AH41:AH42" si="292">AG41+U41</f>
        <v>158.5</v>
      </c>
      <c r="AI41" s="776">
        <f>INDEX('Rekenblad Aansluiting'!AI:AI,'Rekenblad combi'!P41)</f>
        <v>85.49666666666667</v>
      </c>
      <c r="AJ41" s="191">
        <f t="shared" ref="AJ41:AJ42" si="293">AI41+Z41+AA41</f>
        <v>113.17244611111111</v>
      </c>
      <c r="AK41" s="145">
        <f t="shared" ref="AK41:AK42" si="294">AJ41/AH41</f>
        <v>0.7140217420259376</v>
      </c>
      <c r="AL41" s="190" t="b">
        <f t="shared" ref="AL41:AL42" si="295">AK41&lt;0</f>
        <v>0</v>
      </c>
      <c r="AN41" s="189">
        <f>INDEX('Tarieven ZM'!$A$4:$F$115,MATCH($B41,'Tarieven ZM'!$A$4:$A$115,0),MATCH('Tarieven ZM'!$F$4,'Tarieven ZM'!$A$4:$F$4,0))</f>
        <v>100</v>
      </c>
      <c r="AO41" s="194">
        <f>AJ41/(AN41/Parameters!$B$9)</f>
        <v>40.742080600000001</v>
      </c>
    </row>
    <row r="42" spans="1:41" ht="14.4">
      <c r="A42" s="4" t="str">
        <f t="shared" ref="A42:A43" si="296">C42&amp;" "&amp;D42&amp;" "&amp;E42&amp;" "&amp;G42</f>
        <v>TZ ZBT PSTN 100 VVE nieuwe aanleg</v>
      </c>
      <c r="B42" s="133" t="str">
        <f t="shared" ref="B42" si="297">C42&amp;D42</f>
        <v>TZ ZBTPSTN</v>
      </c>
      <c r="C42" s="189" t="s">
        <v>717</v>
      </c>
      <c r="D42" s="133" t="s">
        <v>463</v>
      </c>
      <c r="E42" s="285">
        <v>100</v>
      </c>
      <c r="F42" s="133"/>
      <c r="G42" s="133" t="s">
        <v>458</v>
      </c>
      <c r="H42" s="189"/>
      <c r="I42" s="133"/>
      <c r="J42" s="190"/>
      <c r="K42" s="133" t="str">
        <f t="shared" ref="K42:K43" si="298">C42&amp;D42&amp;E42&amp;G42</f>
        <v>TZ ZBTPSTN100VVE nieuwe aanleg</v>
      </c>
      <c r="L42" s="133" t="str">
        <f t="shared" ref="L42:L43" si="299">C42&amp;SUBSTITUTE(D42,"ISDN30 eerste aansluiting","ISDN30")&amp;E42&amp;F42</f>
        <v>TZ ZBTPSTN100</v>
      </c>
      <c r="M42" s="329" t="str">
        <f t="shared" ref="M42" si="300">H42&amp;I42&amp;J42</f>
        <v/>
      </c>
      <c r="N42" s="329"/>
      <c r="P42" s="189">
        <f>MATCH(K42,'Rekenblad Aansluiting'!A:A,0)</f>
        <v>76</v>
      </c>
      <c r="Q42" s="133">
        <f>MATCH(L42,'Rekenblad Verkeer'!A:A,0)</f>
        <v>36</v>
      </c>
      <c r="R42" s="190"/>
      <c r="T42" s="238">
        <f>INDEX('Rekenblad Aansluiting'!O:O,'Rekenblad combi'!P42)</f>
        <v>102.77777777777777</v>
      </c>
      <c r="U42" s="149">
        <f>INDEX('Rekenblad Verkeer'!AG:AG,'Rekenblad combi'!Q42)</f>
        <v>60</v>
      </c>
      <c r="V42" s="149"/>
      <c r="W42" s="239">
        <f t="shared" ref="W42" si="301">T42+U42</f>
        <v>162.77777777777777</v>
      </c>
      <c r="Y42" s="191">
        <f>INDEX('Rekenblad Aansluiting'!X:X,'Rekenblad combi'!P42)</f>
        <v>77.073244727777777</v>
      </c>
      <c r="Z42" s="142">
        <f>INDEX('Rekenblad Verkeer'!AR:AR,'Rekenblad combi'!Q42)</f>
        <v>28.965779444444443</v>
      </c>
      <c r="AA42" s="142"/>
      <c r="AB42" s="191">
        <f t="shared" ref="AB42" si="302">Y42+Z42+AA42</f>
        <v>106.03902417222221</v>
      </c>
      <c r="AC42" s="145">
        <f t="shared" ref="AC42" si="303">AB42/W42</f>
        <v>0.6514342781911262</v>
      </c>
      <c r="AD42" s="192" t="b">
        <f t="shared" ref="AD42" si="304">AB42&lt;0</f>
        <v>0</v>
      </c>
      <c r="AE42" s="331" t="s">
        <v>868</v>
      </c>
      <c r="AG42" s="189">
        <f>INDEX('Rekenblad Aansluiting'!M:M,'Rekenblad combi'!P42)</f>
        <v>100</v>
      </c>
      <c r="AH42" s="192">
        <f t="shared" si="292"/>
        <v>160</v>
      </c>
      <c r="AI42" s="776">
        <f>INDEX('Rekenblad Aansluiting'!AI:AI,'Rekenblad combi'!P42)</f>
        <v>76.736855838888886</v>
      </c>
      <c r="AJ42" s="191">
        <f t="shared" si="293"/>
        <v>105.70263528333334</v>
      </c>
      <c r="AK42" s="145">
        <f t="shared" si="294"/>
        <v>0.66064147052083333</v>
      </c>
      <c r="AL42" s="190" t="b">
        <f t="shared" si="295"/>
        <v>0</v>
      </c>
      <c r="AN42" s="189">
        <f>INDEX('Tarieven ZM'!$A$4:$F$115,MATCH($B42,'Tarieven ZM'!$A$4:$A$115,0),MATCH('Tarieven ZM'!$F$4,'Tarieven ZM'!$A$4:$F$4,0))</f>
        <v>100</v>
      </c>
      <c r="AO42" s="194">
        <f>AJ42/(AN42/Parameters!$B$9)</f>
        <v>38.052948702000002</v>
      </c>
    </row>
    <row r="43" spans="1:41" ht="14.4">
      <c r="A43" s="4" t="str">
        <f t="shared" si="296"/>
        <v>TZ ZBT ISDN1 100 VVE nieuwe aanleg</v>
      </c>
      <c r="B43" s="4" t="str">
        <f t="shared" ref="B43:B44" si="305">C43&amp;D43</f>
        <v>TZ ZBTISDN1</v>
      </c>
      <c r="C43" s="189" t="s">
        <v>717</v>
      </c>
      <c r="D43" s="133" t="s">
        <v>464</v>
      </c>
      <c r="E43" s="285">
        <v>100</v>
      </c>
      <c r="F43" s="133"/>
      <c r="G43" s="133" t="s">
        <v>458</v>
      </c>
      <c r="H43" s="189"/>
      <c r="I43" s="133"/>
      <c r="J43" s="190"/>
      <c r="K43" s="133" t="str">
        <f t="shared" si="298"/>
        <v>TZ ZBTISDN1100VVE nieuwe aanleg</v>
      </c>
      <c r="L43" s="133" t="str">
        <f t="shared" si="299"/>
        <v>TZ ZBTISDN1100</v>
      </c>
      <c r="M43" s="329" t="str">
        <f t="shared" si="287"/>
        <v/>
      </c>
      <c r="N43" s="329"/>
      <c r="P43" s="189">
        <f>MATCH(K43,'Rekenblad Aansluiting'!A:A,0)</f>
        <v>77</v>
      </c>
      <c r="Q43" s="133">
        <f>MATCH(L43,'Rekenblad Verkeer'!A:A,0)</f>
        <v>37</v>
      </c>
      <c r="R43" s="190"/>
      <c r="T43" s="238">
        <f>INDEX('Rekenblad Aansluiting'!O:O,'Rekenblad combi'!P43)</f>
        <v>102.77777777777777</v>
      </c>
      <c r="U43" s="149">
        <f>INDEX('Rekenblad Verkeer'!AG:AG,'Rekenblad combi'!Q43)</f>
        <v>60</v>
      </c>
      <c r="V43" s="149"/>
      <c r="W43" s="239">
        <f t="shared" ref="W43:W45" si="306">T43+U43</f>
        <v>162.77777777777777</v>
      </c>
      <c r="Y43" s="191">
        <f>INDEX('Rekenblad Aansluiting'!X:X,'Rekenblad combi'!P43)</f>
        <v>77.073244727777777</v>
      </c>
      <c r="Z43" s="142">
        <f>INDEX('Rekenblad Verkeer'!AR:AR,'Rekenblad combi'!Q43)</f>
        <v>28.965779444444443</v>
      </c>
      <c r="AA43" s="142"/>
      <c r="AB43" s="191">
        <f t="shared" ref="AB43:AB44" si="307">Y43+Z43+AA43</f>
        <v>106.03902417222221</v>
      </c>
      <c r="AC43" s="145">
        <f t="shared" ref="AC43:AC45" si="308">AB43/W43</f>
        <v>0.6514342781911262</v>
      </c>
      <c r="AD43" s="190" t="b">
        <f t="shared" ref="AD43:AD45" si="309">AB43&lt;0</f>
        <v>0</v>
      </c>
      <c r="AE43" s="331" t="s">
        <v>868</v>
      </c>
      <c r="AG43" s="189">
        <f>INDEX('Rekenblad Aansluiting'!M:M,'Rekenblad combi'!P43)</f>
        <v>100</v>
      </c>
      <c r="AH43" s="192">
        <f t="shared" ref="AH43:AH44" si="310">AG43+U43</f>
        <v>160</v>
      </c>
      <c r="AI43" s="776">
        <f>INDEX('Rekenblad Aansluiting'!AI:AI,'Rekenblad combi'!P43)</f>
        <v>76.736855838888886</v>
      </c>
      <c r="AJ43" s="191">
        <f t="shared" ref="AJ43:AJ44" si="311">AI43+Z43+AA43</f>
        <v>105.70263528333334</v>
      </c>
      <c r="AK43" s="145">
        <f t="shared" ref="AK43:AK44" si="312">AJ43/AH43</f>
        <v>0.66064147052083333</v>
      </c>
      <c r="AL43" s="190" t="b">
        <f t="shared" ref="AL43:AL44" si="313">AK43&lt;0</f>
        <v>0</v>
      </c>
      <c r="AN43" s="189">
        <f>INDEX('Tarieven ZM'!$A$4:$F$115,MATCH($B43,'Tarieven ZM'!$A$4:$A$115,0),MATCH('Tarieven ZM'!$F$4,'Tarieven ZM'!$A$4:$F$4,0))</f>
        <v>100</v>
      </c>
      <c r="AO43" s="194">
        <f>AJ43/(AN43/Parameters!$B$9)</f>
        <v>38.052948702000002</v>
      </c>
    </row>
    <row r="44" spans="1:41" ht="14.4">
      <c r="A44" s="4" t="str">
        <f t="shared" ref="A44:A45" si="314">C44&amp;" "&amp;D44&amp;" "&amp;E44&amp;" "&amp;G44</f>
        <v>TZ ZBT ISDN2 100 VVE nieuwe aanleg</v>
      </c>
      <c r="B44" s="4" t="str">
        <f t="shared" si="305"/>
        <v>TZ ZBTISDN2</v>
      </c>
      <c r="C44" s="189" t="s">
        <v>717</v>
      </c>
      <c r="D44" s="133" t="s">
        <v>465</v>
      </c>
      <c r="E44" s="285">
        <v>100</v>
      </c>
      <c r="F44" s="133"/>
      <c r="G44" s="133" t="s">
        <v>458</v>
      </c>
      <c r="H44" s="189"/>
      <c r="I44" s="133"/>
      <c r="J44" s="190"/>
      <c r="K44" s="133" t="str">
        <f t="shared" ref="K44:K45" si="315">C44&amp;D44&amp;E44&amp;G44</f>
        <v>TZ ZBTISDN2100VVE nieuwe aanleg</v>
      </c>
      <c r="L44" s="133" t="str">
        <f t="shared" ref="L44:L45" si="316">C44&amp;SUBSTITUTE(D44,"ISDN30 eerste aansluiting","ISDN30")&amp;E44&amp;F44</f>
        <v>TZ ZBTISDN2100</v>
      </c>
      <c r="M44" s="329" t="str">
        <f t="shared" si="287"/>
        <v/>
      </c>
      <c r="N44" s="329"/>
      <c r="P44" s="189">
        <f>MATCH(K44,'Rekenblad Aansluiting'!A:A,0)</f>
        <v>78</v>
      </c>
      <c r="Q44" s="133">
        <f>MATCH(L44,'Rekenblad Verkeer'!A:A,0)</f>
        <v>38</v>
      </c>
      <c r="R44" s="190"/>
      <c r="T44" s="238">
        <f>INDEX('Rekenblad Aansluiting'!O:O,'Rekenblad combi'!P44)</f>
        <v>102.77777777777777</v>
      </c>
      <c r="U44" s="149">
        <f>INDEX('Rekenblad Verkeer'!AG:AG,'Rekenblad combi'!Q44)</f>
        <v>60</v>
      </c>
      <c r="V44" s="149"/>
      <c r="W44" s="239">
        <f t="shared" si="306"/>
        <v>162.77777777777777</v>
      </c>
      <c r="Y44" s="191">
        <f>INDEX('Rekenblad Aansluiting'!X:X,'Rekenblad combi'!P44)</f>
        <v>77.073244727777777</v>
      </c>
      <c r="Z44" s="142">
        <f>INDEX('Rekenblad Verkeer'!AR:AR,'Rekenblad combi'!Q44)</f>
        <v>28.965779444444443</v>
      </c>
      <c r="AA44" s="142"/>
      <c r="AB44" s="191">
        <f t="shared" si="307"/>
        <v>106.03902417222221</v>
      </c>
      <c r="AC44" s="145">
        <f t="shared" si="308"/>
        <v>0.6514342781911262</v>
      </c>
      <c r="AD44" s="190" t="b">
        <f t="shared" si="309"/>
        <v>0</v>
      </c>
      <c r="AE44" s="331" t="s">
        <v>868</v>
      </c>
      <c r="AG44" s="189">
        <f>INDEX('Rekenblad Aansluiting'!M:M,'Rekenblad combi'!P44)</f>
        <v>100</v>
      </c>
      <c r="AH44" s="192">
        <f t="shared" si="310"/>
        <v>160</v>
      </c>
      <c r="AI44" s="776">
        <f>INDEX('Rekenblad Aansluiting'!AI:AI,'Rekenblad combi'!P44)</f>
        <v>76.736855838888886</v>
      </c>
      <c r="AJ44" s="191">
        <f t="shared" si="311"/>
        <v>105.70263528333334</v>
      </c>
      <c r="AK44" s="145">
        <f t="shared" si="312"/>
        <v>0.66064147052083333</v>
      </c>
      <c r="AL44" s="190" t="b">
        <f t="shared" si="313"/>
        <v>0</v>
      </c>
      <c r="AN44" s="189">
        <f>INDEX('Tarieven ZM'!$A$4:$F$115,MATCH($B44,'Tarieven ZM'!$A$4:$A$115,0),MATCH('Tarieven ZM'!$F$4,'Tarieven ZM'!$A$4:$F$4,0))</f>
        <v>100</v>
      </c>
      <c r="AO44" s="194">
        <f>AJ44/(AN44/Parameters!$B$9)</f>
        <v>38.052948702000002</v>
      </c>
    </row>
    <row r="45" spans="1:41" ht="14.4">
      <c r="A45" s="4" t="str">
        <f t="shared" si="314"/>
        <v>TZ ZBT ISDN15 100 VVE nieuwe aanleg</v>
      </c>
      <c r="B45" s="4" t="str">
        <f t="shared" ref="B45" si="317">C45&amp;D45</f>
        <v>TZ ZBTISDN15</v>
      </c>
      <c r="C45" s="189" t="s">
        <v>717</v>
      </c>
      <c r="D45" s="133" t="s">
        <v>466</v>
      </c>
      <c r="E45" s="285">
        <v>100</v>
      </c>
      <c r="F45" s="133"/>
      <c r="G45" s="133" t="s">
        <v>458</v>
      </c>
      <c r="H45" s="189"/>
      <c r="I45" s="133"/>
      <c r="J45" s="190"/>
      <c r="K45" s="133" t="str">
        <f t="shared" si="315"/>
        <v>TZ ZBTISDN15100VVE nieuwe aanleg</v>
      </c>
      <c r="L45" s="133" t="str">
        <f t="shared" si="316"/>
        <v>TZ ZBTISDN15100</v>
      </c>
      <c r="M45" s="329" t="str">
        <f t="shared" ref="M45" si="318">H45&amp;I45&amp;J45</f>
        <v/>
      </c>
      <c r="N45" s="329"/>
      <c r="P45" s="189">
        <f>MATCH(K45,'Rekenblad Aansluiting'!A:A,0)</f>
        <v>79</v>
      </c>
      <c r="Q45" s="133">
        <f>MATCH(L45,'Rekenblad Verkeer'!A:A,0)</f>
        <v>39</v>
      </c>
      <c r="R45" s="190"/>
      <c r="T45" s="238">
        <f>INDEX('Rekenblad Aansluiting'!O:O,'Rekenblad combi'!P45)</f>
        <v>102.77777777777777</v>
      </c>
      <c r="U45" s="149">
        <f>INDEX('Rekenblad Verkeer'!AG:AG,'Rekenblad combi'!Q45)</f>
        <v>60</v>
      </c>
      <c r="V45" s="149"/>
      <c r="W45" s="239">
        <f t="shared" si="306"/>
        <v>162.77777777777777</v>
      </c>
      <c r="Y45" s="191">
        <f>INDEX('Rekenblad Aansluiting'!X:X,'Rekenblad combi'!P45)</f>
        <v>65.434321472222223</v>
      </c>
      <c r="Z45" s="142">
        <f>INDEX('Rekenblad Verkeer'!AR:AR,'Rekenblad combi'!Q45)</f>
        <v>28.965779444444443</v>
      </c>
      <c r="AA45" s="142"/>
      <c r="AB45" s="191">
        <f t="shared" ref="AB45" si="319">Y45+Z45+AA45</f>
        <v>94.400100916666673</v>
      </c>
      <c r="AC45" s="145">
        <f t="shared" si="308"/>
        <v>0.57993236058020481</v>
      </c>
      <c r="AD45" s="190" t="b">
        <f t="shared" si="309"/>
        <v>0</v>
      </c>
      <c r="AE45" s="331" t="s">
        <v>868</v>
      </c>
      <c r="AG45" s="189">
        <f>INDEX('Rekenblad Aansluiting'!M:M,'Rekenblad combi'!P45)</f>
        <v>100</v>
      </c>
      <c r="AH45" s="192">
        <f t="shared" ref="AH45" si="320">AG45+U45</f>
        <v>160</v>
      </c>
      <c r="AI45" s="776">
        <f>INDEX('Rekenblad Aansluiting'!AI:AI,'Rekenblad combi'!P45)</f>
        <v>67.23376591666667</v>
      </c>
      <c r="AJ45" s="191">
        <f t="shared" ref="AJ45" si="321">AI45+Z45+AA45</f>
        <v>96.19954536111112</v>
      </c>
      <c r="AK45" s="145">
        <f t="shared" ref="AK45" si="322">AJ45/AH45</f>
        <v>0.60124715850694455</v>
      </c>
      <c r="AL45" s="190" t="b">
        <f t="shared" ref="AL45" si="323">AK45&lt;0</f>
        <v>0</v>
      </c>
      <c r="AN45" s="189">
        <f>INDEX('Tarieven ZM'!$A$4:$F$115,MATCH($B45,'Tarieven ZM'!$A$4:$A$115,0),MATCH('Tarieven ZM'!$F$4,'Tarieven ZM'!$A$4:$F$4,0))</f>
        <v>100</v>
      </c>
      <c r="AO45" s="194">
        <f>AJ45/(AN45/Parameters!$B$9)</f>
        <v>34.631836330000006</v>
      </c>
    </row>
    <row r="46" spans="1:41" ht="14.4">
      <c r="A46" s="4" t="str">
        <f t="shared" ref="A46" si="324">C46&amp;" "&amp;D46&amp;" "&amp;E46&amp;" "&amp;G46</f>
        <v>TZ ZBT ISDN20 100 VVE nieuwe aanleg</v>
      </c>
      <c r="B46" s="4" t="str">
        <f t="shared" ref="B46:B47" si="325">C46&amp;D46</f>
        <v>TZ ZBTISDN20</v>
      </c>
      <c r="C46" s="189" t="s">
        <v>717</v>
      </c>
      <c r="D46" s="133" t="s">
        <v>468</v>
      </c>
      <c r="E46" s="285">
        <v>100</v>
      </c>
      <c r="F46" s="133"/>
      <c r="G46" s="133" t="s">
        <v>458</v>
      </c>
      <c r="H46" s="189"/>
      <c r="I46" s="133"/>
      <c r="J46" s="190"/>
      <c r="K46" s="133" t="str">
        <f t="shared" ref="K46" si="326">C46&amp;D46&amp;E46&amp;G46</f>
        <v>TZ ZBTISDN20100VVE nieuwe aanleg</v>
      </c>
      <c r="L46" s="133" t="str">
        <f t="shared" ref="L46" si="327">C46&amp;SUBSTITUTE(D46,"ISDN30 eerste aansluiting","ISDN30")&amp;E46&amp;F46</f>
        <v>TZ ZBTISDN20100</v>
      </c>
      <c r="M46" s="329" t="str">
        <f t="shared" ref="M46" si="328">H46&amp;I46&amp;J46</f>
        <v/>
      </c>
      <c r="N46" s="329"/>
      <c r="P46" s="189">
        <f>MATCH(K46,'Rekenblad Aansluiting'!A:A,0)</f>
        <v>80</v>
      </c>
      <c r="Q46" s="133">
        <f>MATCH(L46,'Rekenblad Verkeer'!A:A,0)</f>
        <v>40</v>
      </c>
      <c r="R46" s="190"/>
      <c r="T46" s="238">
        <f>INDEX('Rekenblad Aansluiting'!O:O,'Rekenblad combi'!P46)</f>
        <v>102.77777777777777</v>
      </c>
      <c r="U46" s="149">
        <f>INDEX('Rekenblad Verkeer'!AG:AG,'Rekenblad combi'!Q46)</f>
        <v>60</v>
      </c>
      <c r="V46" s="149"/>
      <c r="W46" s="239">
        <f t="shared" ref="W46" si="329">T46+U46</f>
        <v>162.77777777777777</v>
      </c>
      <c r="Y46" s="191">
        <f>INDEX('Rekenblad Aansluiting'!X:X,'Rekenblad combi'!P46)</f>
        <v>65.434321472222223</v>
      </c>
      <c r="Z46" s="142">
        <f>INDEX('Rekenblad Verkeer'!AR:AR,'Rekenblad combi'!Q46)</f>
        <v>28.965779444444443</v>
      </c>
      <c r="AA46" s="142"/>
      <c r="AB46" s="191">
        <f t="shared" ref="AB46" si="330">Y46+Z46+AA46</f>
        <v>94.400100916666673</v>
      </c>
      <c r="AC46" s="145">
        <f t="shared" ref="AC46" si="331">AB46/W46</f>
        <v>0.57993236058020481</v>
      </c>
      <c r="AD46" s="190" t="b">
        <f t="shared" ref="AD46" si="332">AB46&lt;0</f>
        <v>0</v>
      </c>
      <c r="AE46" s="331" t="s">
        <v>868</v>
      </c>
      <c r="AG46" s="189">
        <f>INDEX('Rekenblad Aansluiting'!M:M,'Rekenblad combi'!P46)</f>
        <v>100</v>
      </c>
      <c r="AH46" s="192">
        <f t="shared" ref="AH46" si="333">AG46+U46</f>
        <v>160</v>
      </c>
      <c r="AI46" s="776">
        <f>INDEX('Rekenblad Aansluiting'!AI:AI,'Rekenblad combi'!P46)</f>
        <v>67.23376591666667</v>
      </c>
      <c r="AJ46" s="191">
        <f t="shared" ref="AJ46" si="334">AI46+Z46+AA46</f>
        <v>96.19954536111112</v>
      </c>
      <c r="AK46" s="145">
        <f t="shared" ref="AK46" si="335">AJ46/AH46</f>
        <v>0.60124715850694455</v>
      </c>
      <c r="AL46" s="190" t="b">
        <f t="shared" ref="AL46" si="336">AK46&lt;0</f>
        <v>0</v>
      </c>
      <c r="AN46" s="189">
        <f>INDEX('Tarieven ZM'!$A$4:$F$115,MATCH($B46,'Tarieven ZM'!$A$4:$A$115,0),MATCH('Tarieven ZM'!$F$4,'Tarieven ZM'!$A$4:$F$4,0))</f>
        <v>100</v>
      </c>
      <c r="AO46" s="194">
        <f>AJ46/(AN46/Parameters!$B$9)</f>
        <v>34.631836330000006</v>
      </c>
    </row>
    <row r="47" spans="1:41" ht="14.4">
      <c r="A47" s="4" t="str">
        <f t="shared" ref="A47" si="337">C47&amp;" "&amp;D47&amp;" "&amp;E47&amp;" "&amp;G47</f>
        <v>TZ ZBT ISDN30 eerste aansluiting 100 VVE nieuwe aanleg</v>
      </c>
      <c r="B47" s="4" t="str">
        <f t="shared" si="325"/>
        <v>TZ ZBTISDN30 eerste aansluiting</v>
      </c>
      <c r="C47" s="189" t="s">
        <v>717</v>
      </c>
      <c r="D47" s="133" t="s">
        <v>869</v>
      </c>
      <c r="E47" s="285">
        <v>100</v>
      </c>
      <c r="F47" s="133"/>
      <c r="G47" s="133" t="s">
        <v>458</v>
      </c>
      <c r="H47" s="189"/>
      <c r="I47" s="133"/>
      <c r="J47" s="190"/>
      <c r="K47" s="133" t="str">
        <f t="shared" ref="K47" si="338">C47&amp;D47&amp;E47&amp;G47</f>
        <v>TZ ZBTISDN30 eerste aansluiting100VVE nieuwe aanleg</v>
      </c>
      <c r="L47" s="133" t="str">
        <f t="shared" ref="L47" si="339">C47&amp;SUBSTITUTE(D47,"ISDN30 eerste aansluiting","ISDN30")&amp;E47&amp;F47</f>
        <v>TZ ZBTISDN30100</v>
      </c>
      <c r="M47" s="329" t="str">
        <f t="shared" ref="M47" si="340">H47&amp;I47&amp;J47</f>
        <v/>
      </c>
      <c r="N47" s="329"/>
      <c r="P47" s="189">
        <f>MATCH(K47,'Rekenblad Aansluiting'!A:A,0)</f>
        <v>81</v>
      </c>
      <c r="Q47" s="133">
        <f>MATCH(L47,'Rekenblad Verkeer'!A:A,0)</f>
        <v>41</v>
      </c>
      <c r="R47" s="190"/>
      <c r="T47" s="238">
        <f>INDEX('Rekenblad Aansluiting'!O:O,'Rekenblad combi'!P47)</f>
        <v>102.77777777777777</v>
      </c>
      <c r="U47" s="149">
        <f>INDEX('Rekenblad Verkeer'!AG:AG,'Rekenblad combi'!Q47)</f>
        <v>60</v>
      </c>
      <c r="V47" s="149"/>
      <c r="W47" s="239">
        <f t="shared" ref="W47" si="341">T47+U47</f>
        <v>162.77777777777777</v>
      </c>
      <c r="Y47" s="191">
        <f>INDEX('Rekenblad Aansluiting'!X:X,'Rekenblad combi'!P47)</f>
        <v>65.434321472222223</v>
      </c>
      <c r="Z47" s="142">
        <f>INDEX('Rekenblad Verkeer'!AR:AR,'Rekenblad combi'!Q47)</f>
        <v>28.965779444444443</v>
      </c>
      <c r="AA47" s="142"/>
      <c r="AB47" s="191">
        <f t="shared" ref="AB47" si="342">Y47+Z47+AA47</f>
        <v>94.400100916666673</v>
      </c>
      <c r="AC47" s="145">
        <f t="shared" ref="AC47" si="343">AB47/W47</f>
        <v>0.57993236058020481</v>
      </c>
      <c r="AD47" s="190" t="b">
        <f t="shared" ref="AD47" si="344">AB47&lt;0</f>
        <v>0</v>
      </c>
      <c r="AE47" s="331" t="s">
        <v>868</v>
      </c>
      <c r="AG47" s="189">
        <f>INDEX('Rekenblad Aansluiting'!M:M,'Rekenblad combi'!P47)</f>
        <v>100</v>
      </c>
      <c r="AH47" s="192">
        <f t="shared" ref="AH47" si="345">AG47+U47</f>
        <v>160</v>
      </c>
      <c r="AI47" s="776">
        <f>INDEX('Rekenblad Aansluiting'!AI:AI,'Rekenblad combi'!P47)</f>
        <v>67.23376591666667</v>
      </c>
      <c r="AJ47" s="191">
        <f t="shared" ref="AJ47" si="346">AI47+Z47+AA47</f>
        <v>96.19954536111112</v>
      </c>
      <c r="AK47" s="145">
        <f t="shared" ref="AK47" si="347">AJ47/AH47</f>
        <v>0.60124715850694455</v>
      </c>
      <c r="AL47" s="190" t="b">
        <f t="shared" ref="AL47" si="348">AK47&lt;0</f>
        <v>0</v>
      </c>
      <c r="AN47" s="189">
        <f>INDEX('Tarieven ZM'!$A$4:$F$115,MATCH($B47,'Tarieven ZM'!$A$4:$A$115,0),MATCH('Tarieven ZM'!$F$4,'Tarieven ZM'!$A$4:$F$4,0))</f>
        <v>100</v>
      </c>
      <c r="AO47" s="194">
        <f>AJ47/(AN47/Parameters!$B$9)</f>
        <v>34.631836330000006</v>
      </c>
    </row>
    <row r="48" spans="1:41" ht="14.4">
      <c r="A48" s="4" t="str">
        <f t="shared" ref="A48:A49" si="349">C48&amp;" "&amp;D48&amp;" "&amp;E48&amp;" "&amp;G48</f>
        <v>TZ ZBT Cityphone 100 VVE nieuwe aanleg</v>
      </c>
      <c r="B48" s="4" t="str">
        <f t="shared" ref="B48:B51" si="350">C48&amp;D48</f>
        <v>TZ ZBTCityphone</v>
      </c>
      <c r="C48" s="189" t="s">
        <v>717</v>
      </c>
      <c r="D48" s="133" t="s">
        <v>520</v>
      </c>
      <c r="E48" s="285">
        <v>100</v>
      </c>
      <c r="F48" s="133"/>
      <c r="G48" s="133" t="s">
        <v>458</v>
      </c>
      <c r="H48" s="189"/>
      <c r="I48" s="133"/>
      <c r="J48" s="190"/>
      <c r="K48" s="133" t="str">
        <f t="shared" ref="K48:K49" si="351">C48&amp;D48&amp;E48&amp;G48</f>
        <v>TZ ZBTCityphone100VVE nieuwe aanleg</v>
      </c>
      <c r="L48" s="133" t="str">
        <f t="shared" ref="L48:L49" si="352">C48&amp;SUBSTITUTE(D48,"ISDN30 eerste aansluiting","ISDN30")&amp;E48&amp;F48</f>
        <v>TZ ZBTCityphone100</v>
      </c>
      <c r="M48" s="329" t="str">
        <f t="shared" ref="M48:M51" si="353">H48&amp;I48&amp;J48</f>
        <v/>
      </c>
      <c r="N48" s="329"/>
      <c r="P48" s="189">
        <f>MATCH(K48,'Rekenblad Aansluiting'!A:A,0)</f>
        <v>82</v>
      </c>
      <c r="Q48" s="133">
        <f>MATCH(L48,'Rekenblad Verkeer'!A:A,0)</f>
        <v>42</v>
      </c>
      <c r="R48" s="190"/>
      <c r="T48" s="238">
        <f>INDEX('Rekenblad Aansluiting'!O:O,'Rekenblad combi'!P48)</f>
        <v>102.77777777777777</v>
      </c>
      <c r="U48" s="149">
        <f>INDEX('Rekenblad Verkeer'!AG:AG,'Rekenblad combi'!Q48)</f>
        <v>60</v>
      </c>
      <c r="V48" s="149"/>
      <c r="W48" s="239">
        <f t="shared" ref="W48" si="354">T48+U48</f>
        <v>162.77777777777777</v>
      </c>
      <c r="Y48" s="191">
        <f>INDEX('Rekenblad Aansluiting'!X:X,'Rekenblad combi'!P48)</f>
        <v>87.924166666666665</v>
      </c>
      <c r="Z48" s="142">
        <f>INDEX('Rekenblad Verkeer'!AR:AR,'Rekenblad combi'!Q48)</f>
        <v>28.965779444444443</v>
      </c>
      <c r="AA48" s="142"/>
      <c r="AB48" s="191">
        <f t="shared" ref="AB48:AB51" si="355">Y48+Z48+AA48</f>
        <v>116.8899461111111</v>
      </c>
      <c r="AC48" s="145">
        <f t="shared" ref="AC48" si="356">AB48/W48</f>
        <v>0.71809523208191128</v>
      </c>
      <c r="AD48" s="190" t="b">
        <f t="shared" ref="AD48" si="357">AB48&lt;0</f>
        <v>0</v>
      </c>
      <c r="AE48" s="331" t="s">
        <v>868</v>
      </c>
      <c r="AG48" s="189">
        <f>INDEX('Rekenblad Aansluiting'!M:M,'Rekenblad combi'!P48)</f>
        <v>100</v>
      </c>
      <c r="AH48" s="192">
        <f t="shared" ref="AH48:AH49" si="358">AG48+U48</f>
        <v>160</v>
      </c>
      <c r="AI48" s="776">
        <f>INDEX('Rekenblad Aansluiting'!AI:AI,'Rekenblad combi'!P48)</f>
        <v>85.551944444444445</v>
      </c>
      <c r="AJ48" s="191">
        <f t="shared" ref="AJ48:AJ49" si="359">AI48+Z48+AA48</f>
        <v>114.5177238888889</v>
      </c>
      <c r="AK48" s="145">
        <f t="shared" ref="AK48:AK49" si="360">AJ48/AH48</f>
        <v>0.71573577430555557</v>
      </c>
      <c r="AL48" s="190" t="b">
        <f t="shared" ref="AL48:AL49" si="361">AK48&lt;0</f>
        <v>0</v>
      </c>
      <c r="AN48" s="189">
        <f>INDEX('Tarieven ZM'!$A$4:$F$115,MATCH($B48,'Tarieven ZM'!$A$4:$A$115,0),MATCH('Tarieven ZM'!$F$4,'Tarieven ZM'!$A$4:$F$4,0))</f>
        <v>100</v>
      </c>
      <c r="AO48" s="194">
        <f>AJ48/(AN48/Parameters!$B$9)</f>
        <v>41.226380600000006</v>
      </c>
    </row>
    <row r="49" spans="1:41" ht="14.4">
      <c r="A49" s="4" t="str">
        <f t="shared" si="349"/>
        <v>TZ ZBT PSTN 100 VVE overstap</v>
      </c>
      <c r="B49" s="4" t="str">
        <f t="shared" ref="B49" si="362">C49&amp;D49</f>
        <v>TZ ZBTPSTN</v>
      </c>
      <c r="C49" s="189" t="s">
        <v>717</v>
      </c>
      <c r="D49" s="133" t="s">
        <v>463</v>
      </c>
      <c r="E49" s="285">
        <v>100</v>
      </c>
      <c r="F49" s="133"/>
      <c r="G49" s="133" t="s">
        <v>459</v>
      </c>
      <c r="H49" s="189"/>
      <c r="I49" s="133"/>
      <c r="J49" s="190"/>
      <c r="K49" s="133" t="str">
        <f t="shared" si="351"/>
        <v>TZ ZBTPSTN100VVE overstap</v>
      </c>
      <c r="L49" s="133" t="str">
        <f t="shared" si="352"/>
        <v>TZ ZBTPSTN100</v>
      </c>
      <c r="M49" s="329" t="str">
        <f t="shared" ref="M49" si="363">H49&amp;I49&amp;J49</f>
        <v/>
      </c>
      <c r="N49" s="329"/>
      <c r="P49" s="189">
        <f>MATCH(K49,'Rekenblad Aansluiting'!A:A,0)</f>
        <v>83</v>
      </c>
      <c r="Q49" s="133">
        <f>MATCH(L49,'Rekenblad Verkeer'!A:A,0)</f>
        <v>36</v>
      </c>
      <c r="R49" s="190"/>
      <c r="T49" s="238">
        <f>INDEX('Rekenblad Aansluiting'!O:O,'Rekenblad combi'!P49)</f>
        <v>102.77777777777777</v>
      </c>
      <c r="U49" s="149">
        <f>INDEX('Rekenblad Verkeer'!AG:AG,'Rekenblad combi'!Q49)</f>
        <v>60</v>
      </c>
      <c r="V49" s="149"/>
      <c r="W49" s="239">
        <f t="shared" ref="W49" si="364">T49+U49</f>
        <v>162.77777777777777</v>
      </c>
      <c r="Y49" s="191">
        <f>INDEX('Rekenblad Aansluiting'!X:X,'Rekenblad combi'!P49)</f>
        <v>78.673244727777771</v>
      </c>
      <c r="Z49" s="142">
        <f>INDEX('Rekenblad Verkeer'!AR:AR,'Rekenblad combi'!Q49)</f>
        <v>28.965779444444443</v>
      </c>
      <c r="AA49" s="142"/>
      <c r="AB49" s="191">
        <f t="shared" ref="AB49" si="365">Y49+Z49+AA49</f>
        <v>107.63902417222221</v>
      </c>
      <c r="AC49" s="145">
        <f t="shared" ref="AC49" si="366">AB49/W49</f>
        <v>0.6612636297269624</v>
      </c>
      <c r="AD49" s="190" t="b">
        <f t="shared" ref="AD49" si="367">AB49&lt;0</f>
        <v>0</v>
      </c>
      <c r="AE49" s="331" t="s">
        <v>868</v>
      </c>
      <c r="AG49" s="189">
        <f>INDEX('Rekenblad Aansluiting'!M:M,'Rekenblad combi'!P49)</f>
        <v>100</v>
      </c>
      <c r="AH49" s="192">
        <f t="shared" si="358"/>
        <v>160</v>
      </c>
      <c r="AI49" s="776">
        <f>INDEX('Rekenblad Aansluiting'!AI:AI,'Rekenblad combi'!P49)</f>
        <v>76.736855838888886</v>
      </c>
      <c r="AJ49" s="191">
        <f t="shared" si="359"/>
        <v>105.70263528333334</v>
      </c>
      <c r="AK49" s="145">
        <f t="shared" si="360"/>
        <v>0.66064147052083333</v>
      </c>
      <c r="AL49" s="190" t="b">
        <f t="shared" si="361"/>
        <v>0</v>
      </c>
      <c r="AN49" s="189">
        <f>INDEX('Tarieven ZM'!$A$4:$F$115,MATCH($B49,'Tarieven ZM'!$A$4:$A$115,0),MATCH('Tarieven ZM'!$F$4,'Tarieven ZM'!$A$4:$F$4,0))</f>
        <v>100</v>
      </c>
      <c r="AO49" s="194">
        <f>AJ49/(AN49/Parameters!$B$9)</f>
        <v>38.052948702000002</v>
      </c>
    </row>
    <row r="50" spans="1:41" ht="14.4">
      <c r="A50" s="4" t="str">
        <f t="shared" ref="A50:A51" si="368">C50&amp;" "&amp;D50&amp;" "&amp;E50&amp;" "&amp;G50</f>
        <v>TZ ZBT ISDN1 100 VVE overstap</v>
      </c>
      <c r="B50" s="4" t="str">
        <f t="shared" si="350"/>
        <v>TZ ZBTISDN1</v>
      </c>
      <c r="C50" s="189" t="s">
        <v>717</v>
      </c>
      <c r="D50" s="133" t="s">
        <v>464</v>
      </c>
      <c r="E50" s="285">
        <v>100</v>
      </c>
      <c r="F50" s="133"/>
      <c r="G50" s="133" t="s">
        <v>459</v>
      </c>
      <c r="H50" s="189"/>
      <c r="I50" s="133"/>
      <c r="J50" s="190"/>
      <c r="K50" s="133" t="str">
        <f t="shared" ref="K50:K51" si="369">C50&amp;D50&amp;E50&amp;G50</f>
        <v>TZ ZBTISDN1100VVE overstap</v>
      </c>
      <c r="L50" s="133" t="str">
        <f t="shared" ref="L50:L51" si="370">C50&amp;SUBSTITUTE(D50,"ISDN30 eerste aansluiting","ISDN30")&amp;E50&amp;F50</f>
        <v>TZ ZBTISDN1100</v>
      </c>
      <c r="M50" s="329" t="str">
        <f t="shared" si="353"/>
        <v/>
      </c>
      <c r="N50" s="329"/>
      <c r="P50" s="189">
        <f>MATCH(K50,'Rekenblad Aansluiting'!A:A,0)</f>
        <v>84</v>
      </c>
      <c r="Q50" s="133">
        <f>MATCH(L50,'Rekenblad Verkeer'!A:A,0)</f>
        <v>37</v>
      </c>
      <c r="R50" s="190"/>
      <c r="T50" s="238">
        <f>INDEX('Rekenblad Aansluiting'!O:O,'Rekenblad combi'!P50)</f>
        <v>102.77777777777777</v>
      </c>
      <c r="U50" s="149">
        <f>INDEX('Rekenblad Verkeer'!AG:AG,'Rekenblad combi'!Q50)</f>
        <v>60</v>
      </c>
      <c r="V50" s="149"/>
      <c r="W50" s="239">
        <f t="shared" ref="W50:W52" si="371">T50+U50</f>
        <v>162.77777777777777</v>
      </c>
      <c r="Y50" s="191">
        <f>INDEX('Rekenblad Aansluiting'!X:X,'Rekenblad combi'!P50)</f>
        <v>78.673244727777771</v>
      </c>
      <c r="Z50" s="142">
        <f>INDEX('Rekenblad Verkeer'!AR:AR,'Rekenblad combi'!Q50)</f>
        <v>28.965779444444443</v>
      </c>
      <c r="AA50" s="142"/>
      <c r="AB50" s="191">
        <f t="shared" si="355"/>
        <v>107.63902417222221</v>
      </c>
      <c r="AC50" s="145">
        <f t="shared" ref="AC50:AC52" si="372">AB50/W50</f>
        <v>0.6612636297269624</v>
      </c>
      <c r="AD50" s="190" t="b">
        <f t="shared" ref="AD50:AD52" si="373">AB50&lt;0</f>
        <v>0</v>
      </c>
      <c r="AE50" s="331" t="s">
        <v>868</v>
      </c>
      <c r="AG50" s="189">
        <f>INDEX('Rekenblad Aansluiting'!M:M,'Rekenblad combi'!P50)</f>
        <v>100</v>
      </c>
      <c r="AH50" s="192">
        <f t="shared" ref="AH50:AH51" si="374">AG50+U50</f>
        <v>160</v>
      </c>
      <c r="AI50" s="776">
        <f>INDEX('Rekenblad Aansluiting'!AI:AI,'Rekenblad combi'!P50)</f>
        <v>76.736855838888886</v>
      </c>
      <c r="AJ50" s="191">
        <f t="shared" ref="AJ50:AJ51" si="375">AI50+Z50+AA50</f>
        <v>105.70263528333334</v>
      </c>
      <c r="AK50" s="145">
        <f t="shared" ref="AK50:AK51" si="376">AJ50/AH50</f>
        <v>0.66064147052083333</v>
      </c>
      <c r="AL50" s="190" t="b">
        <f t="shared" ref="AL50:AL51" si="377">AK50&lt;0</f>
        <v>0</v>
      </c>
      <c r="AN50" s="189">
        <f>INDEX('Tarieven ZM'!$A$4:$F$115,MATCH($B50,'Tarieven ZM'!$A$4:$A$115,0),MATCH('Tarieven ZM'!$F$4,'Tarieven ZM'!$A$4:$F$4,0))</f>
        <v>100</v>
      </c>
      <c r="AO50" s="194">
        <f>AJ50/(AN50/Parameters!$B$9)</f>
        <v>38.052948702000002</v>
      </c>
    </row>
    <row r="51" spans="1:41" ht="14.4">
      <c r="A51" s="4" t="str">
        <f t="shared" si="368"/>
        <v>TZ ZBT ISDN2 100 VVE overstap</v>
      </c>
      <c r="B51" s="4" t="str">
        <f t="shared" si="350"/>
        <v>TZ ZBTISDN2</v>
      </c>
      <c r="C51" s="189" t="s">
        <v>717</v>
      </c>
      <c r="D51" s="133" t="s">
        <v>465</v>
      </c>
      <c r="E51" s="285">
        <v>100</v>
      </c>
      <c r="F51" s="133"/>
      <c r="G51" s="133" t="s">
        <v>459</v>
      </c>
      <c r="H51" s="189"/>
      <c r="I51" s="133"/>
      <c r="J51" s="190"/>
      <c r="K51" s="133" t="str">
        <f t="shared" si="369"/>
        <v>TZ ZBTISDN2100VVE overstap</v>
      </c>
      <c r="L51" s="133" t="str">
        <f t="shared" si="370"/>
        <v>TZ ZBTISDN2100</v>
      </c>
      <c r="M51" s="329" t="str">
        <f t="shared" si="353"/>
        <v/>
      </c>
      <c r="N51" s="329"/>
      <c r="P51" s="189">
        <f>MATCH(K51,'Rekenblad Aansluiting'!A:A,0)</f>
        <v>85</v>
      </c>
      <c r="Q51" s="133">
        <f>MATCH(L51,'Rekenblad Verkeer'!A:A,0)</f>
        <v>38</v>
      </c>
      <c r="R51" s="190"/>
      <c r="T51" s="238">
        <f>INDEX('Rekenblad Aansluiting'!O:O,'Rekenblad combi'!P51)</f>
        <v>102.77777777777777</v>
      </c>
      <c r="U51" s="149">
        <f>INDEX('Rekenblad Verkeer'!AG:AG,'Rekenblad combi'!Q51)</f>
        <v>60</v>
      </c>
      <c r="V51" s="149"/>
      <c r="W51" s="239">
        <f t="shared" si="371"/>
        <v>162.77777777777777</v>
      </c>
      <c r="Y51" s="191">
        <f>INDEX('Rekenblad Aansluiting'!X:X,'Rekenblad combi'!P51)</f>
        <v>78.673244727777771</v>
      </c>
      <c r="Z51" s="142">
        <f>INDEX('Rekenblad Verkeer'!AR:AR,'Rekenblad combi'!Q51)</f>
        <v>28.965779444444443</v>
      </c>
      <c r="AA51" s="142"/>
      <c r="AB51" s="191">
        <f t="shared" si="355"/>
        <v>107.63902417222221</v>
      </c>
      <c r="AC51" s="145">
        <f t="shared" si="372"/>
        <v>0.6612636297269624</v>
      </c>
      <c r="AD51" s="190" t="b">
        <f t="shared" si="373"/>
        <v>0</v>
      </c>
      <c r="AE51" s="331" t="s">
        <v>868</v>
      </c>
      <c r="AG51" s="189">
        <f>INDEX('Rekenblad Aansluiting'!M:M,'Rekenblad combi'!P51)</f>
        <v>100</v>
      </c>
      <c r="AH51" s="192">
        <f t="shared" si="374"/>
        <v>160</v>
      </c>
      <c r="AI51" s="776">
        <f>INDEX('Rekenblad Aansluiting'!AI:AI,'Rekenblad combi'!P51)</f>
        <v>76.736855838888886</v>
      </c>
      <c r="AJ51" s="191">
        <f t="shared" si="375"/>
        <v>105.70263528333334</v>
      </c>
      <c r="AK51" s="145">
        <f t="shared" si="376"/>
        <v>0.66064147052083333</v>
      </c>
      <c r="AL51" s="190" t="b">
        <f t="shared" si="377"/>
        <v>0</v>
      </c>
      <c r="AN51" s="189">
        <f>INDEX('Tarieven ZM'!$A$4:$F$115,MATCH($B51,'Tarieven ZM'!$A$4:$A$115,0),MATCH('Tarieven ZM'!$F$4,'Tarieven ZM'!$A$4:$F$4,0))</f>
        <v>100</v>
      </c>
      <c r="AO51" s="194">
        <f>AJ51/(AN51/Parameters!$B$9)</f>
        <v>38.052948702000002</v>
      </c>
    </row>
    <row r="52" spans="1:41" ht="14.4">
      <c r="A52" s="4" t="str">
        <f t="shared" ref="A52" si="378">C52&amp;" "&amp;D52&amp;" "&amp;E52&amp;" "&amp;G52</f>
        <v>TZ ZBT ISDN15 100 VVE overstap</v>
      </c>
      <c r="B52" s="4" t="str">
        <f t="shared" ref="B52:B53" si="379">C52&amp;D52</f>
        <v>TZ ZBTISDN15</v>
      </c>
      <c r="C52" s="189" t="s">
        <v>717</v>
      </c>
      <c r="D52" s="133" t="s">
        <v>466</v>
      </c>
      <c r="E52" s="285">
        <v>100</v>
      </c>
      <c r="F52" s="133"/>
      <c r="G52" s="133" t="s">
        <v>459</v>
      </c>
      <c r="H52" s="189"/>
      <c r="I52" s="133"/>
      <c r="J52" s="190"/>
      <c r="K52" s="133" t="str">
        <f t="shared" ref="K52" si="380">C52&amp;D52&amp;E52&amp;G52</f>
        <v>TZ ZBTISDN15100VVE overstap</v>
      </c>
      <c r="L52" s="133" t="str">
        <f t="shared" ref="L52" si="381">C52&amp;SUBSTITUTE(D52,"ISDN30 eerste aansluiting","ISDN30")&amp;E52&amp;F52</f>
        <v>TZ ZBTISDN15100</v>
      </c>
      <c r="M52" s="329" t="str">
        <f t="shared" ref="M52" si="382">H52&amp;I52&amp;J52</f>
        <v/>
      </c>
      <c r="N52" s="329"/>
      <c r="P52" s="189">
        <f>MATCH(K52,'Rekenblad Aansluiting'!A:A,0)</f>
        <v>86</v>
      </c>
      <c r="Q52" s="133">
        <f>MATCH(L52,'Rekenblad Verkeer'!A:A,0)</f>
        <v>39</v>
      </c>
      <c r="R52" s="190"/>
      <c r="T52" s="238">
        <f>INDEX('Rekenblad Aansluiting'!O:O,'Rekenblad combi'!P52)</f>
        <v>102.77777777777777</v>
      </c>
      <c r="U52" s="149">
        <f>INDEX('Rekenblad Verkeer'!AG:AG,'Rekenblad combi'!Q52)</f>
        <v>60</v>
      </c>
      <c r="V52" s="149"/>
      <c r="W52" s="239">
        <f t="shared" si="371"/>
        <v>162.77777777777777</v>
      </c>
      <c r="Y52" s="191">
        <f>INDEX('Rekenblad Aansluiting'!X:X,'Rekenblad combi'!P52)</f>
        <v>68.634321472222211</v>
      </c>
      <c r="Z52" s="142">
        <f>INDEX('Rekenblad Verkeer'!AR:AR,'Rekenblad combi'!Q52)</f>
        <v>28.965779444444443</v>
      </c>
      <c r="AA52" s="142"/>
      <c r="AB52" s="191">
        <f t="shared" ref="AB52" si="383">Y52+Z52+AA52</f>
        <v>97.600100916666662</v>
      </c>
      <c r="AC52" s="145">
        <f t="shared" si="372"/>
        <v>0.59959106365187709</v>
      </c>
      <c r="AD52" s="190" t="b">
        <f t="shared" si="373"/>
        <v>0</v>
      </c>
      <c r="AE52" s="331" t="s">
        <v>868</v>
      </c>
      <c r="AG52" s="189">
        <f>INDEX('Rekenblad Aansluiting'!M:M,'Rekenblad combi'!P52)</f>
        <v>100</v>
      </c>
      <c r="AH52" s="192">
        <f t="shared" ref="AH52:AH53" si="384">AG52+U52</f>
        <v>160</v>
      </c>
      <c r="AI52" s="776">
        <f>INDEX('Rekenblad Aansluiting'!AI:AI,'Rekenblad combi'!P52)</f>
        <v>67.23376591666667</v>
      </c>
      <c r="AJ52" s="191">
        <f t="shared" ref="AJ52:AJ53" si="385">AI52+Z52+AA52</f>
        <v>96.19954536111112</v>
      </c>
      <c r="AK52" s="145">
        <f t="shared" ref="AK52:AK53" si="386">AJ52/AH52</f>
        <v>0.60124715850694455</v>
      </c>
      <c r="AL52" s="190" t="b">
        <f t="shared" ref="AL52:AL53" si="387">AK52&lt;0</f>
        <v>0</v>
      </c>
      <c r="AN52" s="189">
        <f>INDEX('Tarieven ZM'!$A$4:$F$115,MATCH($B52,'Tarieven ZM'!$A$4:$A$115,0),MATCH('Tarieven ZM'!$F$4,'Tarieven ZM'!$A$4:$F$4,0))</f>
        <v>100</v>
      </c>
      <c r="AO52" s="194">
        <f>AJ52/(AN52/Parameters!$B$9)</f>
        <v>34.631836330000006</v>
      </c>
    </row>
    <row r="53" spans="1:41" ht="14.4">
      <c r="A53" s="4" t="str">
        <f t="shared" ref="A53:A54" si="388">C53&amp;" "&amp;D53&amp;" "&amp;E53&amp;" "&amp;G53</f>
        <v>TZ ZBT ISDN20 100 VVE overstap</v>
      </c>
      <c r="B53" s="4" t="str">
        <f t="shared" si="379"/>
        <v>TZ ZBTISDN20</v>
      </c>
      <c r="C53" s="189" t="s">
        <v>717</v>
      </c>
      <c r="D53" s="133" t="s">
        <v>468</v>
      </c>
      <c r="E53" s="285">
        <v>100</v>
      </c>
      <c r="F53" s="133"/>
      <c r="G53" s="133" t="s">
        <v>459</v>
      </c>
      <c r="H53" s="189"/>
      <c r="I53" s="133"/>
      <c r="J53" s="190"/>
      <c r="K53" s="133" t="str">
        <f t="shared" ref="K53:K54" si="389">C53&amp;D53&amp;E53&amp;G53</f>
        <v>TZ ZBTISDN20100VVE overstap</v>
      </c>
      <c r="L53" s="133" t="str">
        <f t="shared" ref="L53:L54" si="390">C53&amp;SUBSTITUTE(D53,"ISDN30 eerste aansluiting","ISDN30")&amp;E53&amp;F53</f>
        <v>TZ ZBTISDN20100</v>
      </c>
      <c r="M53" s="329" t="str">
        <f t="shared" ref="M53:M54" si="391">H53&amp;I53&amp;J53</f>
        <v/>
      </c>
      <c r="N53" s="329"/>
      <c r="P53" s="189">
        <f>MATCH(K53,'Rekenblad Aansluiting'!A:A,0)</f>
        <v>87</v>
      </c>
      <c r="Q53" s="133">
        <f>MATCH(L53,'Rekenblad Verkeer'!A:A,0)</f>
        <v>40</v>
      </c>
      <c r="R53" s="190"/>
      <c r="T53" s="238">
        <f>INDEX('Rekenblad Aansluiting'!O:O,'Rekenblad combi'!P53)</f>
        <v>102.77777777777777</v>
      </c>
      <c r="U53" s="149">
        <f>INDEX('Rekenblad Verkeer'!AG:AG,'Rekenblad combi'!Q53)</f>
        <v>60</v>
      </c>
      <c r="V53" s="149"/>
      <c r="W53" s="239">
        <f t="shared" ref="W53" si="392">T53+U53</f>
        <v>162.77777777777777</v>
      </c>
      <c r="Y53" s="191">
        <f>INDEX('Rekenblad Aansluiting'!X:X,'Rekenblad combi'!P53)</f>
        <v>68.634321472222211</v>
      </c>
      <c r="Z53" s="142">
        <f>INDEX('Rekenblad Verkeer'!AR:AR,'Rekenblad combi'!Q53)</f>
        <v>28.965779444444443</v>
      </c>
      <c r="AA53" s="142"/>
      <c r="AB53" s="191">
        <f t="shared" ref="AB53:AB54" si="393">Y53+Z53+AA53</f>
        <v>97.600100916666662</v>
      </c>
      <c r="AC53" s="145">
        <f t="shared" ref="AC53" si="394">AB53/W53</f>
        <v>0.59959106365187709</v>
      </c>
      <c r="AD53" s="190" t="b">
        <f t="shared" ref="AD53" si="395">AB53&lt;0</f>
        <v>0</v>
      </c>
      <c r="AE53" s="331" t="s">
        <v>868</v>
      </c>
      <c r="AG53" s="189">
        <f>INDEX('Rekenblad Aansluiting'!M:M,'Rekenblad combi'!P53)</f>
        <v>100</v>
      </c>
      <c r="AH53" s="192">
        <f t="shared" si="384"/>
        <v>160</v>
      </c>
      <c r="AI53" s="776">
        <f>INDEX('Rekenblad Aansluiting'!AI:AI,'Rekenblad combi'!P53)</f>
        <v>67.23376591666667</v>
      </c>
      <c r="AJ53" s="191">
        <f t="shared" si="385"/>
        <v>96.19954536111112</v>
      </c>
      <c r="AK53" s="145">
        <f t="shared" si="386"/>
        <v>0.60124715850694455</v>
      </c>
      <c r="AL53" s="190" t="b">
        <f t="shared" si="387"/>
        <v>0</v>
      </c>
      <c r="AN53" s="189">
        <f>INDEX('Tarieven ZM'!$A$4:$F$115,MATCH($B53,'Tarieven ZM'!$A$4:$A$115,0),MATCH('Tarieven ZM'!$F$4,'Tarieven ZM'!$A$4:$F$4,0))</f>
        <v>100</v>
      </c>
      <c r="AO53" s="194">
        <f>AJ53/(AN53/Parameters!$B$9)</f>
        <v>34.631836330000006</v>
      </c>
    </row>
    <row r="54" spans="1:41" ht="14.4">
      <c r="A54" s="4" t="str">
        <f t="shared" si="388"/>
        <v>TZ ZBT ISDN30 eerste aansluiting 100 VVE overstap</v>
      </c>
      <c r="B54" s="4" t="str">
        <f t="shared" ref="B54" si="396">C54&amp;D54</f>
        <v>TZ ZBTISDN30 eerste aansluiting</v>
      </c>
      <c r="C54" s="189" t="s">
        <v>717</v>
      </c>
      <c r="D54" s="133" t="s">
        <v>869</v>
      </c>
      <c r="E54" s="285">
        <v>100</v>
      </c>
      <c r="F54" s="133"/>
      <c r="G54" s="133" t="s">
        <v>459</v>
      </c>
      <c r="H54" s="189"/>
      <c r="I54" s="133"/>
      <c r="J54" s="190"/>
      <c r="K54" s="133" t="str">
        <f t="shared" si="389"/>
        <v>TZ ZBTISDN30 eerste aansluiting100VVE overstap</v>
      </c>
      <c r="L54" s="133" t="str">
        <f t="shared" si="390"/>
        <v>TZ ZBTISDN30100</v>
      </c>
      <c r="M54" s="329" t="str">
        <f t="shared" si="391"/>
        <v/>
      </c>
      <c r="N54" s="329"/>
      <c r="P54" s="189">
        <f>MATCH(K54,'Rekenblad Aansluiting'!A:A,0)</f>
        <v>88</v>
      </c>
      <c r="Q54" s="133">
        <f>MATCH(L54,'Rekenblad Verkeer'!A:A,0)</f>
        <v>41</v>
      </c>
      <c r="R54" s="190"/>
      <c r="T54" s="238">
        <f>INDEX('Rekenblad Aansluiting'!O:O,'Rekenblad combi'!P54)</f>
        <v>102.77777777777777</v>
      </c>
      <c r="U54" s="149">
        <f>INDEX('Rekenblad Verkeer'!AG:AG,'Rekenblad combi'!Q54)</f>
        <v>60</v>
      </c>
      <c r="V54" s="149"/>
      <c r="W54" s="239">
        <f t="shared" ref="W54" si="397">T54+U54</f>
        <v>162.77777777777777</v>
      </c>
      <c r="Y54" s="191">
        <f>INDEX('Rekenblad Aansluiting'!X:X,'Rekenblad combi'!P54)</f>
        <v>68.634321472222211</v>
      </c>
      <c r="Z54" s="142">
        <f>INDEX('Rekenblad Verkeer'!AR:AR,'Rekenblad combi'!Q54)</f>
        <v>28.965779444444443</v>
      </c>
      <c r="AA54" s="142"/>
      <c r="AB54" s="191">
        <f t="shared" si="393"/>
        <v>97.600100916666662</v>
      </c>
      <c r="AC54" s="145">
        <f t="shared" ref="AC54" si="398">AB54/W54</f>
        <v>0.59959106365187709</v>
      </c>
      <c r="AD54" s="190" t="b">
        <f t="shared" ref="AD54" si="399">AB54&lt;0</f>
        <v>0</v>
      </c>
      <c r="AE54" s="331" t="s">
        <v>868</v>
      </c>
      <c r="AG54" s="189">
        <f>INDEX('Rekenblad Aansluiting'!M:M,'Rekenblad combi'!P54)</f>
        <v>100</v>
      </c>
      <c r="AH54" s="192">
        <f t="shared" ref="AH54" si="400">AG54+U54</f>
        <v>160</v>
      </c>
      <c r="AI54" s="776">
        <f>INDEX('Rekenblad Aansluiting'!AI:AI,'Rekenblad combi'!P54)</f>
        <v>67.23376591666667</v>
      </c>
      <c r="AJ54" s="191">
        <f t="shared" ref="AJ54" si="401">AI54+Z54+AA54</f>
        <v>96.19954536111112</v>
      </c>
      <c r="AK54" s="145">
        <f t="shared" ref="AK54" si="402">AJ54/AH54</f>
        <v>0.60124715850694455</v>
      </c>
      <c r="AL54" s="190" t="b">
        <f t="shared" ref="AL54" si="403">AK54&lt;0</f>
        <v>0</v>
      </c>
      <c r="AN54" s="189">
        <f>INDEX('Tarieven ZM'!$A$4:$F$115,MATCH($B54,'Tarieven ZM'!$A$4:$A$115,0),MATCH('Tarieven ZM'!$F$4,'Tarieven ZM'!$A$4:$F$4,0))</f>
        <v>100</v>
      </c>
      <c r="AO54" s="194">
        <f>AJ54/(AN54/Parameters!$B$9)</f>
        <v>34.631836330000006</v>
      </c>
    </row>
    <row r="55" spans="1:41" ht="14.4">
      <c r="A55" s="4" t="str">
        <f t="shared" ref="A55" si="404">C55&amp;" "&amp;D55&amp;" "&amp;E55&amp;" "&amp;G55</f>
        <v>TZ ZBT Cityphone 100 VVE overstap</v>
      </c>
      <c r="B55" s="4" t="str">
        <f t="shared" ref="B55" si="405">C55&amp;D55</f>
        <v>TZ ZBTCityphone</v>
      </c>
      <c r="C55" s="189" t="s">
        <v>717</v>
      </c>
      <c r="D55" s="133" t="s">
        <v>520</v>
      </c>
      <c r="E55" s="285">
        <v>100</v>
      </c>
      <c r="F55" s="133"/>
      <c r="G55" s="133" t="s">
        <v>459</v>
      </c>
      <c r="H55" s="189"/>
      <c r="I55" s="133"/>
      <c r="J55" s="190"/>
      <c r="K55" s="133" t="str">
        <f t="shared" ref="K55" si="406">C55&amp;D55&amp;E55&amp;G55</f>
        <v>TZ ZBTCityphone100VVE overstap</v>
      </c>
      <c r="L55" s="133" t="str">
        <f t="shared" ref="L55" si="407">C55&amp;SUBSTITUTE(D55,"ISDN30 eerste aansluiting","ISDN30")&amp;E55&amp;F55</f>
        <v>TZ ZBTCityphone100</v>
      </c>
      <c r="M55" s="329" t="str">
        <f t="shared" ref="M55" si="408">H55&amp;I55&amp;J55</f>
        <v/>
      </c>
      <c r="N55" s="329"/>
      <c r="P55" s="189">
        <f>MATCH(K55,'Rekenblad Aansluiting'!A:A,0)</f>
        <v>89</v>
      </c>
      <c r="Q55" s="133">
        <f>MATCH(L55,'Rekenblad Verkeer'!A:A,0)</f>
        <v>42</v>
      </c>
      <c r="R55" s="190"/>
      <c r="T55" s="238">
        <f>INDEX('Rekenblad Aansluiting'!O:O,'Rekenblad combi'!P55)</f>
        <v>102.77777777777777</v>
      </c>
      <c r="U55" s="149">
        <f>INDEX('Rekenblad Verkeer'!AG:AG,'Rekenblad combi'!Q55)</f>
        <v>60</v>
      </c>
      <c r="V55" s="149"/>
      <c r="W55" s="239">
        <f t="shared" ref="W55" si="409">T55+U55</f>
        <v>162.77777777777777</v>
      </c>
      <c r="Y55" s="191">
        <f>INDEX('Rekenblad Aansluiting'!X:X,'Rekenblad combi'!P55)</f>
        <v>87.924166666666665</v>
      </c>
      <c r="Z55" s="142">
        <f>INDEX('Rekenblad Verkeer'!AR:AR,'Rekenblad combi'!Q55)</f>
        <v>28.965779444444443</v>
      </c>
      <c r="AA55" s="142"/>
      <c r="AB55" s="191">
        <f t="shared" ref="AB55" si="410">Y55+Z55+AA55</f>
        <v>116.8899461111111</v>
      </c>
      <c r="AC55" s="145">
        <f t="shared" ref="AC55" si="411">AB55/W55</f>
        <v>0.71809523208191128</v>
      </c>
      <c r="AD55" s="190" t="b">
        <f t="shared" ref="AD55" si="412">AB55&lt;0</f>
        <v>0</v>
      </c>
      <c r="AE55" s="331" t="s">
        <v>868</v>
      </c>
      <c r="AG55" s="189">
        <f>INDEX('Rekenblad Aansluiting'!M:M,'Rekenblad combi'!P55)</f>
        <v>100</v>
      </c>
      <c r="AH55" s="192">
        <f t="shared" ref="AH55" si="413">AG55+U55</f>
        <v>160</v>
      </c>
      <c r="AI55" s="776">
        <f>INDEX('Rekenblad Aansluiting'!AI:AI,'Rekenblad combi'!P55)</f>
        <v>85.551944444444445</v>
      </c>
      <c r="AJ55" s="191">
        <f t="shared" ref="AJ55" si="414">AI55+Z55+AA55</f>
        <v>114.5177238888889</v>
      </c>
      <c r="AK55" s="145">
        <f t="shared" ref="AK55" si="415">AJ55/AH55</f>
        <v>0.71573577430555557</v>
      </c>
      <c r="AL55" s="190" t="b">
        <f t="shared" ref="AL55" si="416">AK55&lt;0</f>
        <v>0</v>
      </c>
      <c r="AN55" s="189">
        <f>INDEX('Tarieven ZM'!$A$4:$F$115,MATCH($B55,'Tarieven ZM'!$A$4:$A$115,0),MATCH('Tarieven ZM'!$F$4,'Tarieven ZM'!$A$4:$F$4,0))</f>
        <v>100</v>
      </c>
      <c r="AO55" s="194">
        <f>AJ55/(AN55/Parameters!$B$9)</f>
        <v>41.226380600000006</v>
      </c>
    </row>
    <row r="56" spans="1:41">
      <c r="AB56" s="172"/>
      <c r="AC56" s="180"/>
    </row>
  </sheetData>
  <autoFilter ref="A3:AO3"/>
  <mergeCells count="5">
    <mergeCell ref="T2:W2"/>
    <mergeCell ref="Y2:AD2"/>
    <mergeCell ref="P2:R2"/>
    <mergeCell ref="AG2:AH2"/>
    <mergeCell ref="AI2:AL2"/>
  </mergeCells>
  <conditionalFormatting sqref="AE13:AE55">
    <cfRule type="containsText" dxfId="11" priority="11" operator="containsText" text="nee">
      <formula>NOT(ISERROR(SEARCH("nee",AE13)))</formula>
    </cfRule>
    <cfRule type="containsText" dxfId="10" priority="12" operator="containsText" text="ja">
      <formula>NOT(ISERROR(SEARCH("ja",AE13)))</formula>
    </cfRule>
  </conditionalFormatting>
  <conditionalFormatting sqref="AE12">
    <cfRule type="containsText" dxfId="9" priority="5" operator="containsText" text="nee">
      <formula>NOT(ISERROR(SEARCH("nee",AE12)))</formula>
    </cfRule>
    <cfRule type="containsText" dxfId="8" priority="6" operator="containsText" text="ja">
      <formula>NOT(ISERROR(SEARCH("ja",AE12)))</formula>
    </cfRule>
  </conditionalFormatting>
  <conditionalFormatting sqref="AE4:AE11">
    <cfRule type="containsText" dxfId="3" priority="1" operator="containsText" text="nee">
      <formula>NOT(ISERROR(SEARCH("nee",AE4)))</formula>
    </cfRule>
    <cfRule type="containsText" dxfId="2" priority="2" operator="containsText" text="ja">
      <formula>NOT(ISERROR(SEARCH("ja",AE4)))</formula>
    </cfRule>
  </conditionalFormatting>
  <pageMargins left="0.7" right="0.7" top="0.75" bottom="0.75" header="0.3" footer="0.3"/>
  <pageSetup paperSize="9" orientation="portrait"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24"/>
  <sheetViews>
    <sheetView workbookViewId="0">
      <selection activeCell="A4" sqref="A4"/>
    </sheetView>
  </sheetViews>
  <sheetFormatPr defaultColWidth="9.109375" defaultRowHeight="10.199999999999999"/>
  <cols>
    <col min="1" max="1" width="9.109375" style="496"/>
    <col min="2" max="2" width="7.5546875" style="496" bestFit="1" customWidth="1"/>
    <col min="3" max="3" width="13.5546875" style="496" bestFit="1" customWidth="1"/>
    <col min="4" max="4" width="9" style="496" bestFit="1" customWidth="1"/>
    <col min="5" max="5" width="7.6640625" style="496" bestFit="1" customWidth="1"/>
    <col min="6" max="6" width="7.88671875" style="496" bestFit="1" customWidth="1"/>
    <col min="7" max="7" width="9" style="496" bestFit="1" customWidth="1"/>
    <col min="8" max="8" width="7.6640625" style="496" bestFit="1" customWidth="1"/>
    <col min="9" max="9" width="7.88671875" style="496" bestFit="1" customWidth="1"/>
    <col min="10" max="10" width="9" style="496" bestFit="1" customWidth="1"/>
    <col min="11" max="11" width="7.6640625" style="496" bestFit="1" customWidth="1"/>
    <col min="12" max="12" width="7.88671875" style="496" bestFit="1" customWidth="1"/>
    <col min="13" max="13" width="9" style="496" bestFit="1" customWidth="1"/>
    <col min="14" max="14" width="7.6640625" style="496" bestFit="1" customWidth="1"/>
    <col min="15" max="15" width="7.88671875" style="496" bestFit="1" customWidth="1"/>
    <col min="16" max="16" width="9" style="496" bestFit="1" customWidth="1"/>
    <col min="17" max="17" width="7.6640625" style="496" bestFit="1" customWidth="1"/>
    <col min="18" max="18" width="7.88671875" style="496" bestFit="1" customWidth="1"/>
    <col min="19" max="19" width="9" style="496" bestFit="1" customWidth="1"/>
    <col min="20" max="20" width="7.6640625" style="496" bestFit="1" customWidth="1"/>
    <col min="21" max="21" width="7.88671875" style="496" bestFit="1" customWidth="1"/>
    <col min="22" max="22" width="9" style="496" bestFit="1" customWidth="1"/>
    <col min="23" max="23" width="7.6640625" style="496" bestFit="1" customWidth="1"/>
    <col min="24" max="24" width="7.88671875" style="496" bestFit="1" customWidth="1"/>
    <col min="25" max="16384" width="9.109375" style="496"/>
  </cols>
  <sheetData>
    <row r="1" spans="2:24" ht="15" thickBot="1">
      <c r="B1" s="498" t="s">
        <v>943</v>
      </c>
    </row>
    <row r="2" spans="2:24" ht="10.8" thickBot="1">
      <c r="B2" s="1098"/>
      <c r="C2" s="1099"/>
      <c r="D2" s="1095"/>
      <c r="E2" s="1096"/>
      <c r="F2" s="1097"/>
      <c r="G2" s="1095"/>
      <c r="H2" s="1096"/>
      <c r="I2" s="1097"/>
      <c r="J2" s="1095"/>
      <c r="K2" s="1096"/>
      <c r="L2" s="1097"/>
      <c r="M2" s="1095"/>
      <c r="N2" s="1096"/>
      <c r="O2" s="1097"/>
      <c r="P2" s="1095"/>
      <c r="Q2" s="1096"/>
      <c r="R2" s="1097"/>
      <c r="S2" s="1095"/>
      <c r="T2" s="1096"/>
      <c r="U2" s="1097"/>
      <c r="V2" s="1095"/>
      <c r="W2" s="1096"/>
      <c r="X2" s="1097"/>
    </row>
    <row r="3" spans="2:24" ht="10.8" thickBot="1">
      <c r="B3" s="1098"/>
      <c r="C3" s="1099"/>
      <c r="D3" s="1096"/>
      <c r="E3" s="1096"/>
      <c r="F3" s="1097"/>
      <c r="G3" s="1095"/>
      <c r="H3" s="1096"/>
      <c r="I3" s="1097"/>
      <c r="J3" s="1095"/>
      <c r="K3" s="1096"/>
      <c r="L3" s="1097"/>
      <c r="M3" s="1095"/>
      <c r="N3" s="1096"/>
      <c r="O3" s="1097"/>
      <c r="P3" s="1095"/>
      <c r="Q3" s="1096"/>
      <c r="R3" s="1097"/>
      <c r="S3" s="1095"/>
      <c r="T3" s="1096"/>
      <c r="U3" s="1097"/>
      <c r="V3" s="1095"/>
      <c r="W3" s="1096"/>
      <c r="X3" s="1097"/>
    </row>
    <row r="4" spans="2:24" ht="12" thickBot="1">
      <c r="B4" s="1103"/>
      <c r="C4" s="1104"/>
      <c r="D4" s="1101"/>
      <c r="E4" s="1101"/>
      <c r="F4" s="1102"/>
      <c r="G4" s="1100"/>
      <c r="H4" s="1101"/>
      <c r="I4" s="1102"/>
      <c r="J4" s="1100"/>
      <c r="K4" s="1101"/>
      <c r="L4" s="1102"/>
      <c r="M4" s="1100"/>
      <c r="N4" s="1101"/>
      <c r="O4" s="1102"/>
      <c r="P4" s="1100"/>
      <c r="Q4" s="1101"/>
      <c r="R4" s="1102"/>
      <c r="S4" s="1100"/>
      <c r="T4" s="1101"/>
      <c r="U4" s="1102"/>
      <c r="V4" s="1100"/>
      <c r="W4" s="1101"/>
      <c r="X4" s="1102"/>
    </row>
    <row r="5" spans="2:24" ht="12" thickBot="1">
      <c r="B5" s="846" t="s">
        <v>940</v>
      </c>
      <c r="C5" s="846" t="s">
        <v>618</v>
      </c>
      <c r="D5" s="889"/>
      <c r="E5" s="890"/>
      <c r="F5" s="890"/>
      <c r="G5" s="889"/>
      <c r="H5" s="890"/>
      <c r="I5" s="890"/>
      <c r="J5" s="889"/>
      <c r="K5" s="890"/>
      <c r="L5" s="890"/>
      <c r="M5" s="889"/>
      <c r="N5" s="890"/>
      <c r="O5" s="890"/>
      <c r="P5" s="889"/>
      <c r="Q5" s="890"/>
      <c r="R5" s="890"/>
      <c r="S5" s="889"/>
      <c r="T5" s="890"/>
      <c r="U5" s="890"/>
      <c r="V5" s="889"/>
      <c r="W5" s="890"/>
      <c r="X5" s="890"/>
    </row>
    <row r="6" spans="2:24" ht="10.8" thickBot="1">
      <c r="B6" s="903"/>
      <c r="C6" s="904"/>
      <c r="D6" s="891"/>
      <c r="E6" s="892"/>
      <c r="F6" s="893"/>
      <c r="G6" s="894"/>
      <c r="H6" s="895"/>
      <c r="I6" s="893"/>
      <c r="J6" s="894"/>
      <c r="K6" s="895"/>
      <c r="L6" s="896"/>
      <c r="M6" s="894"/>
      <c r="N6" s="894"/>
      <c r="O6" s="893"/>
      <c r="P6" s="897"/>
      <c r="Q6" s="897"/>
      <c r="R6" s="898"/>
      <c r="S6" s="897"/>
      <c r="T6" s="897"/>
      <c r="U6" s="898"/>
      <c r="V6" s="897"/>
      <c r="W6" s="897"/>
      <c r="X6" s="898"/>
    </row>
    <row r="7" spans="2:24" ht="10.8" thickBot="1">
      <c r="B7" s="905"/>
      <c r="C7" s="905"/>
      <c r="D7" s="894"/>
      <c r="E7" s="894"/>
      <c r="F7" s="899"/>
      <c r="G7" s="894"/>
      <c r="H7" s="895"/>
      <c r="I7" s="899"/>
      <c r="J7" s="894"/>
      <c r="K7" s="895"/>
      <c r="L7" s="899"/>
      <c r="M7" s="894"/>
      <c r="N7" s="895"/>
      <c r="O7" s="899"/>
      <c r="P7" s="897"/>
      <c r="Q7" s="900"/>
      <c r="R7" s="901"/>
      <c r="S7" s="897"/>
      <c r="T7" s="900"/>
      <c r="U7" s="901"/>
      <c r="V7" s="897"/>
      <c r="W7" s="900"/>
      <c r="X7" s="901"/>
    </row>
    <row r="8" spans="2:24" ht="10.8" thickBot="1">
      <c r="B8" s="905"/>
      <c r="C8" s="903"/>
      <c r="D8" s="894"/>
      <c r="E8" s="894"/>
      <c r="F8" s="899"/>
      <c r="G8" s="894"/>
      <c r="H8" s="895"/>
      <c r="I8" s="899"/>
      <c r="J8" s="894"/>
      <c r="K8" s="895"/>
      <c r="L8" s="902"/>
      <c r="M8" s="894"/>
      <c r="N8" s="895"/>
      <c r="O8" s="899"/>
      <c r="P8" s="897"/>
      <c r="Q8" s="900"/>
      <c r="R8" s="901"/>
      <c r="S8" s="897"/>
      <c r="T8" s="900"/>
      <c r="U8" s="901"/>
      <c r="V8" s="897"/>
      <c r="W8" s="900"/>
      <c r="X8" s="901"/>
    </row>
    <row r="9" spans="2:24" ht="10.8" thickBot="1">
      <c r="B9" s="905"/>
      <c r="C9" s="905"/>
      <c r="D9" s="894"/>
      <c r="E9" s="894"/>
      <c r="F9" s="899"/>
      <c r="G9" s="894"/>
      <c r="H9" s="895"/>
      <c r="I9" s="899"/>
      <c r="J9" s="894"/>
      <c r="K9" s="895"/>
      <c r="L9" s="902"/>
      <c r="M9" s="894"/>
      <c r="N9" s="895"/>
      <c r="O9" s="899"/>
      <c r="P9" s="897"/>
      <c r="Q9" s="900"/>
      <c r="R9" s="901"/>
      <c r="S9" s="897"/>
      <c r="T9" s="900"/>
      <c r="U9" s="901"/>
      <c r="V9" s="897"/>
      <c r="W9" s="900"/>
      <c r="X9" s="901"/>
    </row>
    <row r="10" spans="2:24" ht="10.8" thickBot="1">
      <c r="B10" s="905"/>
      <c r="C10" s="905"/>
      <c r="D10" s="894"/>
      <c r="E10" s="894"/>
      <c r="F10" s="899"/>
      <c r="G10" s="894"/>
      <c r="H10" s="895"/>
      <c r="I10" s="899"/>
      <c r="J10" s="894"/>
      <c r="K10" s="895"/>
      <c r="L10" s="902"/>
      <c r="M10" s="894"/>
      <c r="N10" s="895"/>
      <c r="O10" s="899"/>
      <c r="P10" s="897"/>
      <c r="Q10" s="900"/>
      <c r="R10" s="901"/>
      <c r="S10" s="897"/>
      <c r="T10" s="900"/>
      <c r="U10" s="901"/>
      <c r="V10" s="897"/>
      <c r="W10" s="900"/>
      <c r="X10" s="901"/>
    </row>
    <row r="11" spans="2:24" ht="21" thickBot="1">
      <c r="B11" s="497" t="s">
        <v>941</v>
      </c>
      <c r="C11" s="497" t="s">
        <v>942</v>
      </c>
      <c r="D11" s="906"/>
      <c r="E11" s="906"/>
      <c r="F11" s="847">
        <v>0.01</v>
      </c>
      <c r="G11" s="906"/>
      <c r="H11" s="913"/>
      <c r="I11" s="847">
        <v>0.01</v>
      </c>
      <c r="J11" s="906"/>
      <c r="K11" s="913"/>
      <c r="L11" s="848">
        <v>0.01</v>
      </c>
      <c r="M11" s="906"/>
      <c r="N11" s="913"/>
      <c r="O11" s="847">
        <v>0.01</v>
      </c>
      <c r="P11" s="916"/>
      <c r="Q11" s="917"/>
      <c r="R11" s="849">
        <v>1</v>
      </c>
      <c r="S11" s="916"/>
      <c r="T11" s="917"/>
      <c r="U11" s="849">
        <v>1</v>
      </c>
      <c r="V11" s="916"/>
      <c r="W11" s="917"/>
      <c r="X11" s="849">
        <v>1</v>
      </c>
    </row>
    <row r="12" spans="2:24" ht="10.8" thickBot="1">
      <c r="B12" s="905"/>
      <c r="C12" s="903"/>
      <c r="D12" s="894"/>
      <c r="E12" s="894"/>
      <c r="F12" s="899"/>
      <c r="G12" s="894"/>
      <c r="H12" s="895"/>
      <c r="I12" s="899"/>
      <c r="J12" s="894"/>
      <c r="K12" s="895"/>
      <c r="L12" s="902"/>
      <c r="M12" s="894"/>
      <c r="N12" s="895"/>
      <c r="O12" s="899"/>
      <c r="P12" s="897"/>
      <c r="Q12" s="900"/>
      <c r="R12" s="901"/>
      <c r="S12" s="897"/>
      <c r="T12" s="900"/>
      <c r="U12" s="901"/>
      <c r="V12" s="897"/>
      <c r="W12" s="900"/>
      <c r="X12" s="901"/>
    </row>
    <row r="13" spans="2:24" ht="10.8" thickBot="1">
      <c r="B13" s="905"/>
      <c r="C13" s="905"/>
      <c r="D13" s="907"/>
      <c r="E13" s="908"/>
      <c r="F13" s="911"/>
      <c r="G13" s="908"/>
      <c r="H13" s="914"/>
      <c r="I13" s="911"/>
      <c r="J13" s="907"/>
      <c r="K13" s="914"/>
      <c r="L13" s="911"/>
      <c r="M13" s="908"/>
      <c r="N13" s="914"/>
      <c r="O13" s="911"/>
      <c r="P13" s="918"/>
      <c r="Q13" s="919"/>
      <c r="R13" s="922"/>
      <c r="S13" s="897"/>
      <c r="T13" s="900"/>
      <c r="U13" s="901"/>
      <c r="V13" s="897"/>
      <c r="W13" s="900"/>
      <c r="X13" s="901"/>
    </row>
    <row r="14" spans="2:24" ht="10.8" thickBot="1">
      <c r="B14" s="905"/>
      <c r="C14" s="905"/>
      <c r="D14" s="909"/>
      <c r="E14" s="910"/>
      <c r="F14" s="912"/>
      <c r="G14" s="910"/>
      <c r="H14" s="915"/>
      <c r="I14" s="912"/>
      <c r="J14" s="909"/>
      <c r="K14" s="915"/>
      <c r="L14" s="912"/>
      <c r="M14" s="910"/>
      <c r="N14" s="915"/>
      <c r="O14" s="912"/>
      <c r="P14" s="920"/>
      <c r="Q14" s="921"/>
      <c r="R14" s="923"/>
      <c r="S14" s="924"/>
      <c r="T14" s="921"/>
      <c r="U14" s="923"/>
      <c r="V14" s="920"/>
      <c r="W14" s="921"/>
      <c r="X14" s="923"/>
    </row>
    <row r="16" spans="2:24" ht="15" thickBot="1">
      <c r="B16" s="498" t="s">
        <v>12</v>
      </c>
      <c r="C16" s="450"/>
      <c r="D16" s="450"/>
      <c r="E16" s="450"/>
      <c r="F16" s="450"/>
      <c r="G16" s="450"/>
      <c r="H16" s="450"/>
      <c r="I16" s="450"/>
      <c r="J16" s="450"/>
      <c r="K16" s="450"/>
      <c r="L16" s="450"/>
      <c r="M16" s="450"/>
      <c r="N16" s="450"/>
      <c r="O16" s="450"/>
      <c r="P16" s="450"/>
      <c r="Q16" s="450"/>
      <c r="R16" s="450"/>
      <c r="S16" s="450"/>
      <c r="T16" s="450"/>
      <c r="U16" s="450"/>
    </row>
    <row r="17" spans="2:21" ht="15" thickBot="1">
      <c r="B17" s="450"/>
      <c r="C17" s="450"/>
      <c r="D17" s="1092"/>
      <c r="E17" s="1093"/>
      <c r="F17" s="1094"/>
      <c r="G17" s="1092"/>
      <c r="H17" s="1093"/>
      <c r="I17" s="1094"/>
      <c r="J17" s="1092"/>
      <c r="K17" s="1093"/>
      <c r="L17" s="1094"/>
      <c r="M17" s="1092"/>
      <c r="N17" s="1093"/>
      <c r="O17" s="1094"/>
      <c r="P17" s="1092"/>
      <c r="Q17" s="1093"/>
      <c r="R17" s="1094"/>
      <c r="S17" s="1092"/>
      <c r="T17" s="1093"/>
      <c r="U17" s="1094"/>
    </row>
    <row r="18" spans="2:21" ht="12.6" thickBot="1">
      <c r="B18" s="499" t="s">
        <v>940</v>
      </c>
      <c r="C18" s="499"/>
      <c r="D18" s="500"/>
      <c r="E18" s="501"/>
      <c r="F18" s="501"/>
      <c r="G18" s="500"/>
      <c r="H18" s="501"/>
      <c r="I18" s="501"/>
      <c r="J18" s="500"/>
      <c r="K18" s="501"/>
      <c r="L18" s="501"/>
      <c r="M18" s="500"/>
      <c r="N18" s="501"/>
      <c r="O18" s="501"/>
      <c r="P18" s="500"/>
      <c r="Q18" s="501"/>
      <c r="R18" s="500"/>
      <c r="S18" s="500"/>
      <c r="T18" s="501"/>
      <c r="U18" s="501"/>
    </row>
    <row r="19" spans="2:21" ht="12.6" thickBot="1">
      <c r="B19" s="927"/>
      <c r="C19" s="502"/>
      <c r="D19" s="928"/>
      <c r="E19" s="929"/>
      <c r="F19" s="934"/>
      <c r="G19" s="928"/>
      <c r="H19" s="929"/>
      <c r="I19" s="934"/>
      <c r="J19" s="928"/>
      <c r="K19" s="929"/>
      <c r="L19" s="934"/>
      <c r="M19" s="928"/>
      <c r="N19" s="929"/>
      <c r="O19" s="934"/>
      <c r="P19" s="943"/>
      <c r="Q19" s="944"/>
      <c r="R19" s="949"/>
      <c r="S19" s="952"/>
      <c r="T19" s="953"/>
      <c r="U19" s="958"/>
    </row>
    <row r="20" spans="2:21" ht="12.6" thickBot="1">
      <c r="B20" s="499" t="s">
        <v>939</v>
      </c>
      <c r="C20" s="503"/>
      <c r="D20" s="930"/>
      <c r="E20" s="931"/>
      <c r="F20" s="850">
        <v>0.01</v>
      </c>
      <c r="G20" s="937"/>
      <c r="H20" s="938"/>
      <c r="I20" s="851">
        <v>0.01</v>
      </c>
      <c r="J20" s="930"/>
      <c r="K20" s="931"/>
      <c r="L20" s="850">
        <v>0.01</v>
      </c>
      <c r="M20" s="930"/>
      <c r="N20" s="931"/>
      <c r="O20" s="850">
        <v>0.01</v>
      </c>
      <c r="P20" s="945"/>
      <c r="Q20" s="946"/>
      <c r="R20" s="852">
        <v>1</v>
      </c>
      <c r="S20" s="954"/>
      <c r="T20" s="955"/>
      <c r="U20" s="853">
        <v>0.01</v>
      </c>
    </row>
    <row r="21" spans="2:21" ht="12.6" thickBot="1">
      <c r="B21" s="925"/>
      <c r="C21" s="504"/>
      <c r="D21" s="930"/>
      <c r="E21" s="931"/>
      <c r="F21" s="935"/>
      <c r="G21" s="937"/>
      <c r="H21" s="938"/>
      <c r="I21" s="941"/>
      <c r="J21" s="930"/>
      <c r="K21" s="931"/>
      <c r="L21" s="935"/>
      <c r="M21" s="930"/>
      <c r="N21" s="931"/>
      <c r="O21" s="935"/>
      <c r="P21" s="945"/>
      <c r="Q21" s="946"/>
      <c r="R21" s="950"/>
      <c r="S21" s="954"/>
      <c r="T21" s="955"/>
      <c r="U21" s="959"/>
    </row>
    <row r="22" spans="2:21" ht="12.6" thickBot="1">
      <c r="B22" s="925"/>
      <c r="C22" s="503"/>
      <c r="D22" s="930"/>
      <c r="E22" s="931"/>
      <c r="F22" s="935"/>
      <c r="G22" s="937"/>
      <c r="H22" s="938"/>
      <c r="I22" s="941"/>
      <c r="J22" s="930"/>
      <c r="K22" s="931"/>
      <c r="L22" s="935"/>
      <c r="M22" s="930"/>
      <c r="N22" s="931"/>
      <c r="O22" s="935"/>
      <c r="P22" s="945"/>
      <c r="Q22" s="946"/>
      <c r="R22" s="950"/>
      <c r="S22" s="954"/>
      <c r="T22" s="955"/>
      <c r="U22" s="959"/>
    </row>
    <row r="23" spans="2:21" ht="12.6" thickBot="1">
      <c r="B23" s="925"/>
      <c r="C23" s="503"/>
      <c r="D23" s="930"/>
      <c r="E23" s="931"/>
      <c r="F23" s="935"/>
      <c r="G23" s="937"/>
      <c r="H23" s="938"/>
      <c r="I23" s="941"/>
      <c r="J23" s="930"/>
      <c r="K23" s="931"/>
      <c r="L23" s="935"/>
      <c r="M23" s="930"/>
      <c r="N23" s="931"/>
      <c r="O23" s="935"/>
      <c r="P23" s="945"/>
      <c r="Q23" s="946"/>
      <c r="R23" s="950"/>
      <c r="S23" s="954"/>
      <c r="T23" s="955"/>
      <c r="U23" s="959"/>
    </row>
    <row r="24" spans="2:21" ht="12.6" thickBot="1">
      <c r="B24" s="926"/>
      <c r="C24" s="503"/>
      <c r="D24" s="932"/>
      <c r="E24" s="933"/>
      <c r="F24" s="936"/>
      <c r="G24" s="939"/>
      <c r="H24" s="940"/>
      <c r="I24" s="942"/>
      <c r="J24" s="932"/>
      <c r="K24" s="933"/>
      <c r="L24" s="936"/>
      <c r="M24" s="932"/>
      <c r="N24" s="933"/>
      <c r="O24" s="936"/>
      <c r="P24" s="947"/>
      <c r="Q24" s="948"/>
      <c r="R24" s="951"/>
      <c r="S24" s="956"/>
      <c r="T24" s="957"/>
      <c r="U24" s="960"/>
    </row>
  </sheetData>
  <mergeCells count="30">
    <mergeCell ref="S4:U4"/>
    <mergeCell ref="V4:X4"/>
    <mergeCell ref="B4:C4"/>
    <mergeCell ref="D4:F4"/>
    <mergeCell ref="G4:I4"/>
    <mergeCell ref="J4:L4"/>
    <mergeCell ref="M4:O4"/>
    <mergeCell ref="P4:R4"/>
    <mergeCell ref="S2:U2"/>
    <mergeCell ref="V2:X2"/>
    <mergeCell ref="B3:C3"/>
    <mergeCell ref="D3:F3"/>
    <mergeCell ref="G3:I3"/>
    <mergeCell ref="J3:L3"/>
    <mergeCell ref="M3:O3"/>
    <mergeCell ref="P3:R3"/>
    <mergeCell ref="S3:U3"/>
    <mergeCell ref="V3:X3"/>
    <mergeCell ref="B2:C2"/>
    <mergeCell ref="D2:F2"/>
    <mergeCell ref="G2:I2"/>
    <mergeCell ref="J2:L2"/>
    <mergeCell ref="M2:O2"/>
    <mergeCell ref="P2:R2"/>
    <mergeCell ref="S17:U17"/>
    <mergeCell ref="D17:F17"/>
    <mergeCell ref="G17:I17"/>
    <mergeCell ref="J17:L17"/>
    <mergeCell ref="M17:O17"/>
    <mergeCell ref="P17:R17"/>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EA265FEE7AF8A4A85BA987F87A668A3" ma:contentTypeVersion="3" ma:contentTypeDescription="Een nieuw document maken." ma:contentTypeScope="" ma:versionID="2389522682df8598d8cc17e026077c1c">
  <xsd:schema xmlns:xsd="http://www.w3.org/2001/XMLSchema" xmlns:xs="http://www.w3.org/2001/XMLSchema" xmlns:p="http://schemas.microsoft.com/office/2006/metadata/properties" xmlns:ns2="a4debd42-5631-4e86-8b39-4703e1e52874" targetNamespace="http://schemas.microsoft.com/office/2006/metadata/properties" ma:root="true" ma:fieldsID="3956e250912dbc8cd356e02703428c88" ns2:_="">
    <xsd:import namespace="a4debd42-5631-4e86-8b39-4703e1e52874"/>
    <xsd:element name="properties">
      <xsd:complexType>
        <xsd:sequence>
          <xsd:element name="documentManagement">
            <xsd:complexType>
              <xsd:all>
                <xsd:element ref="ns2:BusinessLine" minOccurs="0"/>
                <xsd:element ref="ns2:Versie_x0020_van_x0020_Release" minOccurs="0"/>
                <xsd:element ref="ns2:Status"/>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4debd42-5631-4e86-8b39-4703e1e52874" elementFormDefault="qualified">
    <xsd:import namespace="http://schemas.microsoft.com/office/2006/documentManagement/types"/>
    <xsd:import namespace="http://schemas.microsoft.com/office/infopath/2007/PartnerControls"/>
    <xsd:element name="BusinessLine" ma:index="8" nillable="true" ma:displayName="BusinessLine" ma:default="KPN ÉÉN GZ" ma:description="Binnen welke BusinessLine valt het document" ma:format="Dropdown" ma:internalName="BusinessLine">
      <xsd:simpleType>
        <xsd:restriction base="dms:Choice">
          <xsd:enumeration value="KPN ÉÉN GZ"/>
          <xsd:enumeration value="Data"/>
          <xsd:enumeration value="Spraak"/>
          <xsd:enumeration value="SWOL"/>
          <xsd:enumeration value="Combined Usage"/>
          <xsd:enumeration value="VoiP"/>
          <xsd:enumeration value="Mobiel"/>
          <xsd:enumeration value="KPN ÉÉN MKB"/>
        </xsd:restriction>
      </xsd:simpleType>
    </xsd:element>
    <xsd:element name="Versie_x0020_van_x0020_Release" ma:index="9" nillable="true" ma:displayName="Versie van Release" ma:description="Hier geef je de beoogde release versie op." ma:internalName="Versie_x0020_van_x0020_Release">
      <xsd:simpleType>
        <xsd:restriction base="dms:Text">
          <xsd:maxLength value="255"/>
        </xsd:restriction>
      </xsd:simpleType>
    </xsd:element>
    <xsd:element name="Status" ma:index="10" ma:displayName="Status" ma:default="Ontwikkeling" ma:description="Hier kun je de status aangeven van het document." ma:format="Dropdown" ma:internalName="Status">
      <xsd:simpleType>
        <xsd:restriction base="dms:Choice">
          <xsd:enumeration value="Ontwikkeling"/>
          <xsd:enumeration value="Gereed voor 2e Man"/>
          <xsd:enumeration value="2e Man Akkoord"/>
          <xsd:enumeration value="Releas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BusinessLine xmlns="a4debd42-5631-4e86-8b39-4703e1e52874">Spraak</BusinessLine>
    <Versie_x0020_van_x0020_Release xmlns="a4debd42-5631-4e86-8b39-4703e1e52874" xsi:nil="true"/>
    <Status xmlns="a4debd42-5631-4e86-8b39-4703e1e52874">Release</Status>
  </documentManagement>
</p:properties>
</file>

<file path=customXml/itemProps1.xml><?xml version="1.0" encoding="utf-8"?>
<ds:datastoreItem xmlns:ds="http://schemas.openxmlformats.org/officeDocument/2006/customXml" ds:itemID="{9173E3B0-5876-456A-8001-DE6D01534766}">
  <ds:schemaRefs>
    <ds:schemaRef ds:uri="http://schemas.microsoft.com/sharepoint/v3/contenttype/forms"/>
  </ds:schemaRefs>
</ds:datastoreItem>
</file>

<file path=customXml/itemProps2.xml><?xml version="1.0" encoding="utf-8"?>
<ds:datastoreItem xmlns:ds="http://schemas.openxmlformats.org/officeDocument/2006/customXml" ds:itemID="{B39451C2-9DCC-4381-91D1-EDF75C5D984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4debd42-5631-4e86-8b39-4703e1e528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4AF0689-E433-4D7C-B229-F14A66131A32}">
  <ds:schemaRefs>
    <ds:schemaRef ds:uri="http://purl.org/dc/dcmitype/"/>
    <ds:schemaRef ds:uri="http://schemas.openxmlformats.org/package/2006/metadata/core-properties"/>
    <ds:schemaRef ds:uri="a4debd42-5631-4e86-8b39-4703e1e52874"/>
    <ds:schemaRef ds:uri="http://purl.org/dc/elements/1.1/"/>
    <ds:schemaRef ds:uri="http://www.w3.org/XML/1998/namespace"/>
    <ds:schemaRef ds:uri="http://purl.org/dc/terms/"/>
    <ds:schemaRef ds:uri="http://schemas.microsoft.com/office/2006/documentManagement/types"/>
    <ds:schemaRef ds:uri="http://schemas.microsoft.com/office/infopath/2007/PartnerControls"/>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24</vt:i4>
      </vt:variant>
    </vt:vector>
  </HeadingPairs>
  <TitlesOfParts>
    <vt:vector size="24" baseType="lpstr">
      <vt:lpstr>Voorblad</vt:lpstr>
      <vt:lpstr>Parameters ULL</vt:lpstr>
      <vt:lpstr>collocatie</vt:lpstr>
      <vt:lpstr>Inkoop tarief elementen</vt:lpstr>
      <vt:lpstr>inkoop PSTN</vt:lpstr>
      <vt:lpstr>inkoop ISDN1-2</vt:lpstr>
      <vt:lpstr>inkoop ISDN15-30</vt:lpstr>
      <vt:lpstr>inkoop aansluitingen obv ULL</vt:lpstr>
      <vt:lpstr>Parameters</vt:lpstr>
      <vt:lpstr>Tarieven ZM</vt:lpstr>
      <vt:lpstr>EDC minus lijst ULL</vt:lpstr>
      <vt:lpstr>Kortingsstaffels</vt:lpstr>
      <vt:lpstr>Hulpblad inkooptarieven</vt:lpstr>
      <vt:lpstr>Gereguleerde verkeeerskosten</vt:lpstr>
      <vt:lpstr>EDC-</vt:lpstr>
      <vt:lpstr>Verkeersprofielen</vt:lpstr>
      <vt:lpstr>Facilitietenprofielen</vt:lpstr>
      <vt:lpstr>Mapping</vt:lpstr>
      <vt:lpstr>WLR</vt:lpstr>
      <vt:lpstr>Rekenblad Aansluiting</vt:lpstr>
      <vt:lpstr>Rekenblad Verkeer</vt:lpstr>
      <vt:lpstr>Rekenblad faciliteiten</vt:lpstr>
      <vt:lpstr>Rekenblad combi</vt:lpstr>
      <vt:lpstr>Vergoedingen grondslag</vt:lpstr>
    </vt:vector>
  </TitlesOfParts>
  <Company>Koninklijke KPN NV</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Mitrovic, N. (Nebojsa) (ZM CNS MC Data Pricing ZM)</dc:creator>
  <cp:lastModifiedBy>Aanen, Eimert</cp:lastModifiedBy>
  <dcterms:created xsi:type="dcterms:W3CDTF">2015-02-27T18:49:21Z</dcterms:created>
  <dcterms:modified xsi:type="dcterms:W3CDTF">2017-03-15T16:09:47Z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0x0101008EA265FEE7AF8A4A85BA987F87A668A3</vt:lpwstr>
  </property>
</Properties>
</file>